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file02w\職業センター\職業センター共有\07 実践報告書・マニュアル\01 実践報告書・支援マニュアル\職業センター報告書PDFファイル\令和３年度\Web掲載用\報告書№39\"/>
    </mc:Choice>
  </mc:AlternateContent>
  <bookViews>
    <workbookView xWindow="0" yWindow="2025" windowWidth="23040" windowHeight="10335"/>
  </bookViews>
  <sheets>
    <sheet name="タスクる" sheetId="2" r:id="rId1"/>
    <sheet name="第１回教示" sheetId="3" r:id="rId2"/>
    <sheet name="第１回社内報依頼メール" sheetId="5" r:id="rId3"/>
    <sheet name="第２回教示" sheetId="4" r:id="rId4"/>
    <sheet name="第２回タスク管理方法アンケート" sheetId="6" r:id="rId5"/>
  </sheets>
  <definedNames>
    <definedName name="MWS課題の組み合わせ" localSheetId="0">タスクる!$K$163:$O$171</definedName>
    <definedName name="_xlnm.Print_Area" localSheetId="0">タスクる!$A$1:$Z$64</definedName>
    <definedName name="_xlnm.Print_Area" localSheetId="1">第１回教示!$A$1:$AL$57</definedName>
    <definedName name="_xlnm.Print_Area" localSheetId="2">第１回社内報依頼メール!$A$1:$AH$34</definedName>
    <definedName name="_xlnm.Print_Area" localSheetId="4">第２回タスク管理方法アンケート!$A$1:$AG$41</definedName>
    <definedName name="_xlnm.Print_Area" localSheetId="3">第２回教示!$A$1:$AL$58</definedName>
    <definedName name="タスクA" localSheetId="0">タスクる!$E$97:$E$115</definedName>
    <definedName name="タスクA">#REF!</definedName>
    <definedName name="タスクAのリスト">タスクる!$C$159:$H$167</definedName>
    <definedName name="タスクAの実施時間" localSheetId="3">第２回教示!$AR$15:$AR$17</definedName>
    <definedName name="タスクAの実施時間">第１回教示!$AR$15:$AR$17</definedName>
    <definedName name="タスクA作業標準時間" localSheetId="0">タスクる!$E$97:$F$115</definedName>
    <definedName name="タスクA作業標準時間">#REF!</definedName>
    <definedName name="タスクA時間の選択">タスクる!$P$136:$R$137</definedName>
    <definedName name="タスクＡ時間設定" localSheetId="3">第２回教示!$AR$16:$AT$17</definedName>
    <definedName name="タスクＡ時間設定">第１回教示!$AR$16:$AT$17</definedName>
    <definedName name="タスクA時間選択">タスクる!$P$136:$P$137</definedName>
    <definedName name="タスクB" localSheetId="0">タスクる!$L$97:$L$110</definedName>
    <definedName name="タスクB">#REF!</definedName>
    <definedName name="タスクB作業標準時間" localSheetId="0">タスクる!$L$97:$M$110</definedName>
    <definedName name="タスクB作業標準時間">#REF!</definedName>
    <definedName name="タスクC_MWSレポート" localSheetId="0">タスクる!#REF!</definedName>
    <definedName name="タスクD" localSheetId="0">タスクる!$U$97:$U$108</definedName>
    <definedName name="タスクD" localSheetId="1">タスクる!$U$97:$U$108</definedName>
    <definedName name="タスクDのシフト">タスクる!$Q$79:$S$80</definedName>
    <definedName name="タスクDの作業名" localSheetId="3">第２回教示!$AR$27:$AR$29</definedName>
    <definedName name="タスクDの作業名">第１回教示!$AR$28:$AR$30</definedName>
    <definedName name="タスクDの選択">タスクる!$Q$79:$Q$80</definedName>
    <definedName name="タスクD作業標準時間" localSheetId="0">タスクる!$U$97:$V$108</definedName>
    <definedName name="タスクD作業標準時間">#REF!</definedName>
    <definedName name="タスクF">タスクる!$E$139:$G$140</definedName>
    <definedName name="タスクG" localSheetId="0">タスクる!$E$117:$E$129</definedName>
    <definedName name="タスクG">#REF!</definedName>
    <definedName name="タスクG作業標準時間" localSheetId="0">タスクる!$E$117:$F$129</definedName>
    <definedName name="タスクG作業標準時間">#REF!</definedName>
    <definedName name="プログラム設定に必要な行動" localSheetId="0">タスクる!$L$77:$M$89</definedName>
    <definedName name="ルールの切替" localSheetId="3">第２回教示!$AR$28:$AT$29</definedName>
    <definedName name="ルールの切替">第１回教示!$AR$29:$AT$30</definedName>
    <definedName name="レポート課題" localSheetId="0">タスクる!#REF!</definedName>
    <definedName name="レポート課題詳細" localSheetId="0">タスクる!#REF!</definedName>
    <definedName name="指示内容">タスクる!$E$139:$E$140</definedName>
    <definedName name="進捗報告" localSheetId="3">第２回教示!$AR$40:$AR$42</definedName>
    <definedName name="進捗報告">第１回教示!$AR$39:$AR$41</definedName>
    <definedName name="内容" localSheetId="0">タスクる!$L$77:$L$89</definedName>
    <definedName name="能率" localSheetId="0">タスクる!$H$117:$H$123</definedName>
    <definedName name="能率">#REF!</definedName>
    <definedName name="曜日の設定">タスクる!$B$83:$B$89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5" i="2" l="1"/>
  <c r="F58" i="2" s="1"/>
  <c r="E94" i="2"/>
  <c r="F55" i="2" s="1"/>
  <c r="R57" i="2" l="1"/>
  <c r="X139" i="2"/>
  <c r="X140" i="2"/>
  <c r="X138" i="2"/>
  <c r="X137" i="2"/>
  <c r="X136" i="2"/>
  <c r="X135" i="2"/>
  <c r="X115" i="2"/>
  <c r="X114" i="2"/>
  <c r="X113" i="2"/>
  <c r="X112" i="2"/>
  <c r="M62" i="2" l="1"/>
  <c r="M63" i="2"/>
  <c r="M64" i="2"/>
  <c r="Q57" i="2"/>
  <c r="Q54" i="2"/>
  <c r="Q61" i="2"/>
  <c r="AH53" i="2"/>
  <c r="AH52" i="2"/>
  <c r="AH51" i="2"/>
  <c r="AH50" i="2"/>
  <c r="AH49" i="2"/>
  <c r="AH48" i="2"/>
  <c r="AH47" i="2"/>
  <c r="M15" i="5" l="1"/>
  <c r="G15" i="5"/>
  <c r="C95" i="2" l="1"/>
  <c r="AR28" i="3" l="1"/>
  <c r="I149" i="2"/>
  <c r="S59" i="2"/>
  <c r="AS22" i="3"/>
  <c r="V21" i="3" s="1"/>
  <c r="E15" i="3"/>
  <c r="S61" i="2" l="1"/>
  <c r="AS17" i="4"/>
  <c r="AS17" i="3"/>
  <c r="AS16" i="4"/>
  <c r="AS16" i="3"/>
  <c r="Q137" i="2"/>
  <c r="Q136" i="2"/>
  <c r="E15" i="4"/>
  <c r="V52" i="2"/>
  <c r="B32" i="4" l="1"/>
  <c r="AS27" i="4"/>
  <c r="O55" i="4" s="1"/>
  <c r="J55" i="4" s="1"/>
  <c r="AS26" i="4"/>
  <c r="B55" i="4" s="1"/>
  <c r="AS25" i="4"/>
  <c r="V25" i="4" s="1"/>
  <c r="AE25" i="4" s="1"/>
  <c r="AS24" i="4"/>
  <c r="T24" i="4" s="1"/>
  <c r="AS23" i="4"/>
  <c r="T21" i="4" s="1"/>
  <c r="P21" i="4" s="1"/>
  <c r="AS22" i="4"/>
  <c r="G21" i="4" s="1"/>
  <c r="AS21" i="4"/>
  <c r="K15" i="4" s="1"/>
  <c r="AR20" i="4"/>
  <c r="AR21" i="4"/>
  <c r="AR22" i="4"/>
  <c r="AR24" i="4"/>
  <c r="AR26" i="4"/>
  <c r="AR30" i="4"/>
  <c r="AS30" i="4"/>
  <c r="AT30" i="4"/>
  <c r="AU30" i="4"/>
  <c r="AR31" i="4"/>
  <c r="AS31" i="4"/>
  <c r="AT31" i="4"/>
  <c r="AU31" i="4"/>
  <c r="AS26" i="3"/>
  <c r="AS24" i="3"/>
  <c r="U28" i="3" s="1"/>
  <c r="AS25" i="3"/>
  <c r="W53" i="3" s="1"/>
  <c r="AE53" i="3" s="1"/>
  <c r="AS23" i="3"/>
  <c r="S27" i="3" s="1"/>
  <c r="B28" i="3" s="1"/>
  <c r="AS21" i="3"/>
  <c r="H21" i="3" s="1"/>
  <c r="AS20" i="3"/>
  <c r="V61" i="2"/>
  <c r="N28" i="3" l="1"/>
  <c r="B28" i="4"/>
  <c r="J27" i="4"/>
  <c r="O54" i="3"/>
  <c r="H54" i="3" s="1"/>
  <c r="N21" i="3"/>
  <c r="AD21" i="3"/>
  <c r="AC28" i="3"/>
  <c r="B30" i="3"/>
  <c r="G30" i="3"/>
  <c r="T29" i="3"/>
  <c r="O20" i="3"/>
  <c r="B21" i="3" s="1"/>
  <c r="I15" i="3"/>
  <c r="Y54" i="4"/>
  <c r="AF54" i="4" s="1"/>
  <c r="P20" i="4"/>
  <c r="B21" i="4" s="1"/>
  <c r="B25" i="4"/>
  <c r="B27" i="4"/>
  <c r="H25" i="4"/>
  <c r="I28" i="3"/>
  <c r="K29" i="3" s="1"/>
  <c r="B54" i="3"/>
  <c r="B29" i="3"/>
  <c r="X54" i="3" l="1"/>
  <c r="R27" i="4"/>
  <c r="I28" i="4"/>
  <c r="Q76" i="2"/>
  <c r="I38" i="3" s="1"/>
  <c r="S58" i="2"/>
  <c r="AK15" i="5" s="1"/>
  <c r="B15" i="5" s="1"/>
  <c r="S56" i="2"/>
  <c r="S55" i="2"/>
  <c r="S53" i="2"/>
  <c r="S155" i="2"/>
  <c r="S154" i="2"/>
  <c r="S153" i="2"/>
  <c r="S152" i="2"/>
  <c r="S151" i="2"/>
  <c r="S150" i="2"/>
  <c r="S149" i="2"/>
  <c r="AF63" i="2" l="1"/>
  <c r="AF64" i="2"/>
  <c r="AF65" i="2"/>
  <c r="AF66" i="2"/>
  <c r="AF67" i="2"/>
  <c r="AF68" i="2"/>
  <c r="AF69" i="2"/>
  <c r="AC68" i="2"/>
  <c r="AC66" i="2"/>
  <c r="AC64" i="2"/>
  <c r="AF55" i="2"/>
  <c r="AK55" i="2"/>
  <c r="AF56" i="2"/>
  <c r="AK56" i="2"/>
  <c r="AF57" i="2"/>
  <c r="AK57" i="2"/>
  <c r="AF58" i="2"/>
  <c r="AK58" i="2"/>
  <c r="AF59" i="2"/>
  <c r="AK59" i="2"/>
  <c r="AF60" i="2"/>
  <c r="AK60" i="2"/>
  <c r="AF61" i="2"/>
  <c r="AK61" i="2"/>
  <c r="AC60" i="2"/>
  <c r="AC58" i="2"/>
  <c r="AC56" i="2"/>
  <c r="AE47" i="2"/>
  <c r="AF47" i="2"/>
  <c r="AK47" i="2"/>
  <c r="AE48" i="2"/>
  <c r="AF48" i="2"/>
  <c r="AK48" i="2"/>
  <c r="AE49" i="2"/>
  <c r="AF49" i="2"/>
  <c r="AK49" i="2"/>
  <c r="AE50" i="2"/>
  <c r="AF50" i="2"/>
  <c r="AK50" i="2"/>
  <c r="AE51" i="2"/>
  <c r="AF51" i="2"/>
  <c r="AK51" i="2"/>
  <c r="AE52" i="2"/>
  <c r="AF52" i="2"/>
  <c r="AK52" i="2"/>
  <c r="AE53" i="2"/>
  <c r="AF53" i="2"/>
  <c r="AK53" i="2"/>
  <c r="AC52" i="2"/>
  <c r="AC50" i="2"/>
  <c r="AC48" i="2"/>
  <c r="AD39" i="2"/>
  <c r="AE39" i="2"/>
  <c r="AF39" i="2"/>
  <c r="AG39" i="2"/>
  <c r="AH39" i="2"/>
  <c r="AI39" i="2"/>
  <c r="AJ39" i="2"/>
  <c r="AK39" i="2"/>
  <c r="AD40" i="2"/>
  <c r="AE40" i="2"/>
  <c r="AF40" i="2"/>
  <c r="AG40" i="2"/>
  <c r="AH40" i="2"/>
  <c r="AI40" i="2"/>
  <c r="AJ40" i="2"/>
  <c r="AK40" i="2"/>
  <c r="AD41" i="2"/>
  <c r="AE41" i="2"/>
  <c r="AF41" i="2"/>
  <c r="AG41" i="2"/>
  <c r="AH41" i="2"/>
  <c r="AI41" i="2"/>
  <c r="AJ41" i="2"/>
  <c r="AK41" i="2"/>
  <c r="AD42" i="2"/>
  <c r="AE42" i="2"/>
  <c r="AF42" i="2"/>
  <c r="AG42" i="2"/>
  <c r="AH42" i="2"/>
  <c r="AI42" i="2"/>
  <c r="AJ42" i="2"/>
  <c r="AK42" i="2"/>
  <c r="AD43" i="2"/>
  <c r="AE43" i="2"/>
  <c r="AF43" i="2"/>
  <c r="AG43" i="2"/>
  <c r="AH43" i="2"/>
  <c r="AI43" i="2"/>
  <c r="AJ43" i="2"/>
  <c r="AK43" i="2"/>
  <c r="AD44" i="2"/>
  <c r="AE44" i="2"/>
  <c r="AF44" i="2"/>
  <c r="AG44" i="2"/>
  <c r="AH44" i="2"/>
  <c r="AI44" i="2"/>
  <c r="AJ44" i="2"/>
  <c r="AK44" i="2"/>
  <c r="AD45" i="2"/>
  <c r="AE45" i="2"/>
  <c r="AF45" i="2"/>
  <c r="AG45" i="2"/>
  <c r="AH45" i="2"/>
  <c r="AI45" i="2"/>
  <c r="AJ45" i="2"/>
  <c r="AK45" i="2"/>
  <c r="AC44" i="2"/>
  <c r="AC42" i="2"/>
  <c r="AC40" i="2"/>
  <c r="AD31" i="2"/>
  <c r="AE31" i="2"/>
  <c r="AF31" i="2"/>
  <c r="AG31" i="2"/>
  <c r="AH31" i="2"/>
  <c r="AI31" i="2"/>
  <c r="AJ31" i="2"/>
  <c r="AK31" i="2"/>
  <c r="AD32" i="2"/>
  <c r="AE32" i="2"/>
  <c r="AF32" i="2"/>
  <c r="AG32" i="2"/>
  <c r="AH32" i="2"/>
  <c r="AI32" i="2"/>
  <c r="AJ32" i="2"/>
  <c r="AK32" i="2"/>
  <c r="AD33" i="2"/>
  <c r="AE33" i="2"/>
  <c r="AF33" i="2"/>
  <c r="AG33" i="2"/>
  <c r="AH33" i="2"/>
  <c r="AI33" i="2"/>
  <c r="AJ33" i="2"/>
  <c r="AK33" i="2"/>
  <c r="AD34" i="2"/>
  <c r="AE34" i="2"/>
  <c r="AF34" i="2"/>
  <c r="AG34" i="2"/>
  <c r="AH34" i="2"/>
  <c r="AI34" i="2"/>
  <c r="AJ34" i="2"/>
  <c r="AK34" i="2"/>
  <c r="AD35" i="2"/>
  <c r="AE35" i="2"/>
  <c r="AF35" i="2"/>
  <c r="AG35" i="2"/>
  <c r="AH35" i="2"/>
  <c r="AI35" i="2"/>
  <c r="AJ35" i="2"/>
  <c r="AK35" i="2"/>
  <c r="AD36" i="2"/>
  <c r="AE36" i="2"/>
  <c r="AF36" i="2"/>
  <c r="AG36" i="2"/>
  <c r="AH36" i="2"/>
  <c r="AI36" i="2"/>
  <c r="AJ36" i="2"/>
  <c r="AK36" i="2"/>
  <c r="AD37" i="2"/>
  <c r="AE37" i="2"/>
  <c r="AF37" i="2"/>
  <c r="AG37" i="2"/>
  <c r="AH37" i="2"/>
  <c r="AI37" i="2"/>
  <c r="AJ37" i="2"/>
  <c r="AK37" i="2"/>
  <c r="AC36" i="2"/>
  <c r="AC34" i="2"/>
  <c r="AC32" i="2"/>
  <c r="AD23" i="2"/>
  <c r="AE23" i="2"/>
  <c r="AF23" i="2"/>
  <c r="AG23" i="2"/>
  <c r="AH23" i="2"/>
  <c r="AI23" i="2"/>
  <c r="AJ23" i="2"/>
  <c r="AK23" i="2"/>
  <c r="AD24" i="2"/>
  <c r="AE24" i="2"/>
  <c r="AF24" i="2"/>
  <c r="AG24" i="2"/>
  <c r="AH24" i="2"/>
  <c r="AI24" i="2"/>
  <c r="AJ24" i="2"/>
  <c r="AK24" i="2"/>
  <c r="AD25" i="2"/>
  <c r="AE25" i="2"/>
  <c r="AF25" i="2"/>
  <c r="AG25" i="2"/>
  <c r="AH25" i="2"/>
  <c r="AI25" i="2"/>
  <c r="AJ25" i="2"/>
  <c r="AK25" i="2"/>
  <c r="AD26" i="2"/>
  <c r="AE26" i="2"/>
  <c r="AF26" i="2"/>
  <c r="AG26" i="2"/>
  <c r="AH26" i="2"/>
  <c r="AI26" i="2"/>
  <c r="AJ26" i="2"/>
  <c r="AK26" i="2"/>
  <c r="AD27" i="2"/>
  <c r="AE27" i="2"/>
  <c r="AF27" i="2"/>
  <c r="AG27" i="2"/>
  <c r="AH27" i="2"/>
  <c r="AI27" i="2"/>
  <c r="AJ27" i="2"/>
  <c r="AK27" i="2"/>
  <c r="AD28" i="2"/>
  <c r="AE28" i="2"/>
  <c r="AF28" i="2"/>
  <c r="AG28" i="2"/>
  <c r="AH28" i="2"/>
  <c r="AI28" i="2"/>
  <c r="AJ28" i="2"/>
  <c r="AK28" i="2"/>
  <c r="AD29" i="2"/>
  <c r="AE29" i="2"/>
  <c r="AF29" i="2"/>
  <c r="AG29" i="2"/>
  <c r="AH29" i="2"/>
  <c r="AI29" i="2"/>
  <c r="AJ29" i="2"/>
  <c r="AK29" i="2"/>
  <c r="AC28" i="2"/>
  <c r="AC26" i="2"/>
  <c r="AC24" i="2"/>
  <c r="AD15" i="2"/>
  <c r="AE15" i="2"/>
  <c r="AF15" i="2"/>
  <c r="AG15" i="2"/>
  <c r="AH15" i="2"/>
  <c r="AI15" i="2"/>
  <c r="AJ15" i="2"/>
  <c r="AK15" i="2"/>
  <c r="AD16" i="2"/>
  <c r="AE16" i="2"/>
  <c r="AF16" i="2"/>
  <c r="AG16" i="2"/>
  <c r="AH16" i="2"/>
  <c r="AI16" i="2"/>
  <c r="AJ16" i="2"/>
  <c r="AK16" i="2"/>
  <c r="AD17" i="2"/>
  <c r="AE17" i="2"/>
  <c r="AF17" i="2"/>
  <c r="AG17" i="2"/>
  <c r="AH17" i="2"/>
  <c r="AI17" i="2"/>
  <c r="AJ17" i="2"/>
  <c r="AK17" i="2"/>
  <c r="AD18" i="2"/>
  <c r="AE18" i="2"/>
  <c r="AF18" i="2"/>
  <c r="AG18" i="2"/>
  <c r="AH18" i="2"/>
  <c r="AI18" i="2"/>
  <c r="AJ18" i="2"/>
  <c r="AK18" i="2"/>
  <c r="AD19" i="2"/>
  <c r="AE19" i="2"/>
  <c r="AF19" i="2"/>
  <c r="AG19" i="2"/>
  <c r="AH19" i="2"/>
  <c r="AI19" i="2"/>
  <c r="AJ19" i="2"/>
  <c r="AK19" i="2"/>
  <c r="AD20" i="2"/>
  <c r="AE20" i="2"/>
  <c r="AF20" i="2"/>
  <c r="AG20" i="2"/>
  <c r="AH20" i="2"/>
  <c r="AI20" i="2"/>
  <c r="AJ20" i="2"/>
  <c r="AK20" i="2"/>
  <c r="AD21" i="2"/>
  <c r="AE21" i="2"/>
  <c r="AF21" i="2"/>
  <c r="AG21" i="2"/>
  <c r="AH21" i="2"/>
  <c r="AI21" i="2"/>
  <c r="AJ21" i="2"/>
  <c r="AK21" i="2"/>
  <c r="AC20" i="2"/>
  <c r="AC18" i="2"/>
  <c r="AC16" i="2"/>
  <c r="AD7" i="2"/>
  <c r="AE7" i="2"/>
  <c r="AF7" i="2"/>
  <c r="AG7" i="2"/>
  <c r="AH7" i="2"/>
  <c r="AI7" i="2"/>
  <c r="AJ7" i="2"/>
  <c r="AK7" i="2"/>
  <c r="AD8" i="2"/>
  <c r="AE8" i="2"/>
  <c r="AF8" i="2"/>
  <c r="AG8" i="2"/>
  <c r="AH8" i="2"/>
  <c r="AI8" i="2"/>
  <c r="AJ8" i="2"/>
  <c r="AK8" i="2"/>
  <c r="AD9" i="2"/>
  <c r="AE9" i="2"/>
  <c r="AF9" i="2"/>
  <c r="AG9" i="2"/>
  <c r="AH9" i="2"/>
  <c r="AI9" i="2"/>
  <c r="AJ9" i="2"/>
  <c r="AK9" i="2"/>
  <c r="AD10" i="2"/>
  <c r="AE10" i="2"/>
  <c r="AF10" i="2"/>
  <c r="AG10" i="2"/>
  <c r="AH10" i="2"/>
  <c r="AI10" i="2"/>
  <c r="AJ10" i="2"/>
  <c r="AK10" i="2"/>
  <c r="AD11" i="2"/>
  <c r="AE11" i="2"/>
  <c r="AF11" i="2"/>
  <c r="AG11" i="2"/>
  <c r="AH11" i="2"/>
  <c r="AI11" i="2"/>
  <c r="AJ11" i="2"/>
  <c r="AK11" i="2"/>
  <c r="AD12" i="2"/>
  <c r="AE12" i="2"/>
  <c r="AF12" i="2"/>
  <c r="AG12" i="2"/>
  <c r="AH12" i="2"/>
  <c r="AI12" i="2"/>
  <c r="AJ12" i="2"/>
  <c r="AK12" i="2"/>
  <c r="AD13" i="2"/>
  <c r="AE13" i="2"/>
  <c r="AF13" i="2"/>
  <c r="AG13" i="2"/>
  <c r="AH13" i="2"/>
  <c r="AI13" i="2"/>
  <c r="AJ13" i="2"/>
  <c r="AK13" i="2"/>
  <c r="AC12" i="2"/>
  <c r="AC10" i="2"/>
  <c r="AC8" i="2"/>
  <c r="I39" i="4" l="1"/>
  <c r="L24" i="4" l="1"/>
  <c r="G24" i="4"/>
  <c r="V33" i="3" l="1"/>
  <c r="K56" i="4" l="1"/>
  <c r="F56" i="4"/>
  <c r="G20" i="4"/>
  <c r="B20" i="4"/>
  <c r="L16" i="4"/>
  <c r="AD15" i="4"/>
  <c r="G20" i="3" l="1"/>
  <c r="AC55" i="2" l="1"/>
  <c r="AC57" i="2"/>
  <c r="AC59" i="2"/>
  <c r="AC61" i="2"/>
  <c r="AC63" i="2"/>
  <c r="AC65" i="2"/>
  <c r="AC67" i="2"/>
  <c r="AC69" i="2"/>
  <c r="AC9" i="2"/>
  <c r="AC11" i="2"/>
  <c r="AC13" i="2"/>
  <c r="I16" i="3" l="1"/>
  <c r="AC15" i="3"/>
  <c r="K55" i="3"/>
  <c r="F55" i="3"/>
  <c r="K27" i="3"/>
  <c r="F27" i="3"/>
  <c r="B20" i="3"/>
  <c r="I155" i="2"/>
  <c r="O155" i="2" s="1"/>
  <c r="I154" i="2"/>
  <c r="O154" i="2" s="1"/>
  <c r="I153" i="2"/>
  <c r="O153" i="2" s="1"/>
  <c r="I152" i="2"/>
  <c r="O152" i="2" s="1"/>
  <c r="V152" i="2" s="1"/>
  <c r="I151" i="2"/>
  <c r="O151" i="2" s="1"/>
  <c r="I150" i="2"/>
  <c r="O150" i="2" s="1"/>
  <c r="O149" i="2"/>
  <c r="W43" i="2"/>
  <c r="B80" i="2"/>
  <c r="S9" i="2" s="1"/>
  <c r="B79" i="2"/>
  <c r="L9" i="2" s="1"/>
  <c r="AC53" i="2"/>
  <c r="AC51" i="2"/>
  <c r="U34" i="2"/>
  <c r="N34" i="2"/>
  <c r="AC49" i="2"/>
  <c r="U33" i="2"/>
  <c r="N33" i="2"/>
  <c r="AC47" i="2"/>
  <c r="U32" i="2"/>
  <c r="N32" i="2"/>
  <c r="U31" i="2"/>
  <c r="N31" i="2"/>
  <c r="AC45" i="2"/>
  <c r="AC43" i="2"/>
  <c r="U29" i="2"/>
  <c r="N29" i="2"/>
  <c r="AC41" i="2"/>
  <c r="U28" i="2"/>
  <c r="N28" i="2"/>
  <c r="AC39" i="2"/>
  <c r="U27" i="2"/>
  <c r="N27" i="2"/>
  <c r="U26" i="2"/>
  <c r="N26" i="2"/>
  <c r="AC37" i="2"/>
  <c r="AC35" i="2"/>
  <c r="U24" i="2"/>
  <c r="N24" i="2"/>
  <c r="AC33" i="2"/>
  <c r="U23" i="2"/>
  <c r="N23" i="2"/>
  <c r="AC31" i="2"/>
  <c r="U22" i="2"/>
  <c r="N22" i="2"/>
  <c r="U21" i="2"/>
  <c r="N21" i="2"/>
  <c r="AC29" i="2"/>
  <c r="AC27" i="2"/>
  <c r="U19" i="2"/>
  <c r="N19" i="2"/>
  <c r="AC25" i="2"/>
  <c r="U18" i="2"/>
  <c r="N18" i="2"/>
  <c r="AC23" i="2"/>
  <c r="U17" i="2"/>
  <c r="N17" i="2"/>
  <c r="U16" i="2"/>
  <c r="N16" i="2"/>
  <c r="AC21" i="2"/>
  <c r="AC19" i="2"/>
  <c r="U14" i="2"/>
  <c r="N14" i="2"/>
  <c r="AC17" i="2"/>
  <c r="U13" i="2"/>
  <c r="N13" i="2"/>
  <c r="AC15" i="2"/>
  <c r="U12" i="2"/>
  <c r="N12" i="2"/>
  <c r="U11" i="2"/>
  <c r="N11" i="2"/>
  <c r="AC7" i="2"/>
  <c r="T35" i="2" l="1"/>
  <c r="T30" i="2"/>
  <c r="T25" i="2"/>
  <c r="T20" i="2"/>
  <c r="T15" i="2"/>
  <c r="M20" i="2"/>
  <c r="M30" i="2"/>
  <c r="M25" i="2"/>
  <c r="M15" i="2"/>
  <c r="M35" i="2"/>
  <c r="V154" i="2"/>
  <c r="V150" i="2"/>
  <c r="E35" i="3"/>
  <c r="Q33" i="3"/>
  <c r="V151" i="2"/>
  <c r="V155" i="2"/>
  <c r="V153" i="2"/>
  <c r="V149" i="2"/>
  <c r="Q37" i="2" l="1"/>
  <c r="J37" i="2"/>
  <c r="C76" i="2" l="1"/>
  <c r="B76" i="2" s="1"/>
  <c r="W41" i="2" s="1"/>
  <c r="W48" i="2" s="1"/>
  <c r="U117" i="2" s="1"/>
  <c r="U124" i="2" l="1"/>
  <c r="U125" i="2" s="1"/>
  <c r="X125" i="2" s="1"/>
  <c r="O56" i="2" s="1"/>
  <c r="U120" i="2"/>
  <c r="U121" i="2" s="1"/>
  <c r="X121" i="2" s="1"/>
  <c r="O53" i="2" s="1"/>
  <c r="K21" i="4" s="1"/>
  <c r="U122" i="2"/>
  <c r="U123" i="2" s="1"/>
  <c r="O54" i="2" s="1"/>
  <c r="Y21" i="3" s="1"/>
  <c r="U130" i="2"/>
  <c r="U131" i="2" s="1"/>
  <c r="O61" i="2" s="1"/>
  <c r="U128" i="2"/>
  <c r="U129" i="2" s="1"/>
  <c r="X129" i="2" s="1"/>
  <c r="O60" i="2" s="1"/>
  <c r="U118" i="2"/>
  <c r="U119" i="2" s="1"/>
  <c r="O51" i="2" s="1"/>
  <c r="U126" i="2"/>
  <c r="U127" i="2" s="1"/>
  <c r="O57" i="2" l="1"/>
  <c r="AC25" i="4" s="1"/>
  <c r="S54" i="3"/>
  <c r="L21" i="3"/>
  <c r="F54" i="3"/>
  <c r="E55" i="4"/>
  <c r="L28" i="3"/>
  <c r="O25" i="4"/>
  <c r="X28" i="3" l="1"/>
  <c r="S55" i="4"/>
  <c r="X21" i="4"/>
</calcChain>
</file>

<file path=xl/sharedStrings.xml><?xml version="1.0" encoding="utf-8"?>
<sst xmlns="http://schemas.openxmlformats.org/spreadsheetml/2006/main" count="599" uniqueCount="386">
  <si>
    <t>（１）作業管理課題５日間のスケジュール設定</t>
    <rPh sb="3" eb="5">
      <t>サギョウ</t>
    </rPh>
    <rPh sb="5" eb="7">
      <t>カンリ</t>
    </rPh>
    <rPh sb="7" eb="9">
      <t>カダイ</t>
    </rPh>
    <rPh sb="10" eb="12">
      <t>ニチカン</t>
    </rPh>
    <rPh sb="19" eb="21">
      <t>セッテイ</t>
    </rPh>
    <phoneticPr fontId="2"/>
  </si>
  <si>
    <t>午前</t>
    <rPh sb="0" eb="2">
      <t>ゴゼン</t>
    </rPh>
    <phoneticPr fontId="2"/>
  </si>
  <si>
    <t>午後</t>
    <rPh sb="0" eb="2">
      <t>ゴゴ</t>
    </rPh>
    <phoneticPr fontId="2"/>
  </si>
  <si>
    <t>作業開始時間</t>
    <rPh sb="0" eb="2">
      <t>サギョウ</t>
    </rPh>
    <rPh sb="2" eb="4">
      <t>カイシ</t>
    </rPh>
    <rPh sb="4" eb="6">
      <t>ジカン</t>
    </rPh>
    <phoneticPr fontId="2"/>
  </si>
  <si>
    <t>作業終了時間</t>
    <rPh sb="0" eb="2">
      <t>サギョウ</t>
    </rPh>
    <rPh sb="2" eb="4">
      <t>シュウリョウ</t>
    </rPh>
    <rPh sb="4" eb="6">
      <t>ジカン</t>
    </rPh>
    <phoneticPr fontId="2"/>
  </si>
  <si>
    <t>作業終了時間</t>
    <rPh sb="0" eb="2">
      <t>サギョウ</t>
    </rPh>
    <rPh sb="2" eb="6">
      <t>シュウリョウジカン</t>
    </rPh>
    <phoneticPr fontId="2"/>
  </si>
  <si>
    <t>↓</t>
    <phoneticPr fontId="2"/>
  </si>
  <si>
    <t>分</t>
    <rPh sb="0" eb="1">
      <t>フン</t>
    </rPh>
    <phoneticPr fontId="2"/>
  </si>
  <si>
    <t>実施内容の選択</t>
    <rPh sb="0" eb="2">
      <t>ジッシ</t>
    </rPh>
    <rPh sb="2" eb="4">
      <t>ナイヨウ</t>
    </rPh>
    <rPh sb="5" eb="7">
      <t>センタク</t>
    </rPh>
    <phoneticPr fontId="2"/>
  </si>
  <si>
    <t>所要時間（分）</t>
    <rPh sb="0" eb="2">
      <t>ショヨウ</t>
    </rPh>
    <rPh sb="2" eb="4">
      <t>ジカン</t>
    </rPh>
    <rPh sb="5" eb="6">
      <t>フン</t>
    </rPh>
    <phoneticPr fontId="2"/>
  </si>
  <si>
    <t>初日</t>
    <rPh sb="0" eb="2">
      <t>ショニチ</t>
    </rPh>
    <phoneticPr fontId="2"/>
  </si>
  <si>
    <t>作業</t>
    <rPh sb="0" eb="2">
      <t>サギョウ</t>
    </rPh>
    <phoneticPr fontId="2"/>
  </si>
  <si>
    <t>作業可能時間</t>
    <rPh sb="0" eb="2">
      <t>サギョウ</t>
    </rPh>
    <rPh sb="2" eb="4">
      <t>カノウ</t>
    </rPh>
    <rPh sb="4" eb="6">
      <t>ジカン</t>
    </rPh>
    <phoneticPr fontId="2"/>
  </si>
  <si>
    <t>２日目</t>
    <rPh sb="1" eb="3">
      <t>ニチメ</t>
    </rPh>
    <phoneticPr fontId="2"/>
  </si>
  <si>
    <t>就労セミナー（60分）</t>
    <rPh sb="0" eb="2">
      <t>シュウロウ</t>
    </rPh>
    <rPh sb="9" eb="10">
      <t>フン</t>
    </rPh>
    <phoneticPr fontId="2"/>
  </si>
  <si>
    <t>３日目</t>
    <rPh sb="1" eb="3">
      <t>ニチメ</t>
    </rPh>
    <phoneticPr fontId="2"/>
  </si>
  <si>
    <t>個別相談（80分）</t>
    <rPh sb="0" eb="2">
      <t>コベツ</t>
    </rPh>
    <rPh sb="2" eb="4">
      <t>ソウダン</t>
    </rPh>
    <rPh sb="7" eb="8">
      <t>フン</t>
    </rPh>
    <phoneticPr fontId="2"/>
  </si>
  <si>
    <t>４日目</t>
    <rPh sb="1" eb="3">
      <t>ニチメ</t>
    </rPh>
    <phoneticPr fontId="2"/>
  </si>
  <si>
    <t>個別相談（60分）</t>
    <rPh sb="0" eb="2">
      <t>コベツ</t>
    </rPh>
    <rPh sb="2" eb="4">
      <t>ソウダン</t>
    </rPh>
    <rPh sb="7" eb="8">
      <t>フン</t>
    </rPh>
    <phoneticPr fontId="2"/>
  </si>
  <si>
    <t>５日間の作業可能時間の合計</t>
    <rPh sb="1" eb="3">
      <t>ニチカン</t>
    </rPh>
    <rPh sb="4" eb="6">
      <t>サギョウ</t>
    </rPh>
    <rPh sb="6" eb="8">
      <t>カノウ</t>
    </rPh>
    <rPh sb="8" eb="10">
      <t>ジカン</t>
    </rPh>
    <rPh sb="11" eb="13">
      <t>ゴウケイ</t>
    </rPh>
    <phoneticPr fontId="2"/>
  </si>
  <si>
    <t>（２）実施する課題の設定</t>
    <rPh sb="3" eb="5">
      <t>ジッシ</t>
    </rPh>
    <rPh sb="7" eb="9">
      <t>カダイ</t>
    </rPh>
    <rPh sb="10" eb="12">
      <t>セッテイ</t>
    </rPh>
    <phoneticPr fontId="2"/>
  </si>
  <si>
    <t>■MWS以外の課題の設定</t>
    <rPh sb="4" eb="6">
      <t>イガイ</t>
    </rPh>
    <rPh sb="7" eb="9">
      <t>カダイ</t>
    </rPh>
    <rPh sb="10" eb="12">
      <t>セッテイ</t>
    </rPh>
    <phoneticPr fontId="2"/>
  </si>
  <si>
    <t>タスクA</t>
    <phoneticPr fontId="2"/>
  </si>
  <si>
    <t>タスクB</t>
    <phoneticPr fontId="2"/>
  </si>
  <si>
    <t>タスクD</t>
    <phoneticPr fontId="2"/>
  </si>
  <si>
    <t>タスクG</t>
    <phoneticPr fontId="2"/>
  </si>
  <si>
    <t>数値入力</t>
    <rPh sb="0" eb="2">
      <t>スウチ</t>
    </rPh>
    <rPh sb="2" eb="4">
      <t>ニュウリョク</t>
    </rPh>
    <phoneticPr fontId="2"/>
  </si>
  <si>
    <t>文書入力</t>
    <rPh sb="0" eb="4">
      <t>ブンショニュウリョク</t>
    </rPh>
    <phoneticPr fontId="2"/>
  </si>
  <si>
    <t>物品請求書</t>
    <rPh sb="0" eb="2">
      <t>ブッピン</t>
    </rPh>
    <rPh sb="2" eb="5">
      <t>セイキュウショ</t>
    </rPh>
    <phoneticPr fontId="2"/>
  </si>
  <si>
    <t>作業日報</t>
    <rPh sb="0" eb="2">
      <t>サギョウ</t>
    </rPh>
    <rPh sb="2" eb="4">
      <t>ニッポウ</t>
    </rPh>
    <phoneticPr fontId="2"/>
  </si>
  <si>
    <t>ラベル作成</t>
    <rPh sb="3" eb="5">
      <t>サクセイ</t>
    </rPh>
    <phoneticPr fontId="2"/>
  </si>
  <si>
    <t>ピッキング</t>
    <phoneticPr fontId="2"/>
  </si>
  <si>
    <t>レベル１</t>
    <phoneticPr fontId="2"/>
  </si>
  <si>
    <t>標準所要時間（秒）</t>
    <rPh sb="0" eb="2">
      <t>ヒョウジュン</t>
    </rPh>
    <rPh sb="2" eb="4">
      <t>ショヨウ</t>
    </rPh>
    <rPh sb="4" eb="6">
      <t>ジカン</t>
    </rPh>
    <rPh sb="7" eb="8">
      <t>ビョウ</t>
    </rPh>
    <phoneticPr fontId="2"/>
  </si>
  <si>
    <t>×１</t>
    <phoneticPr fontId="2"/>
  </si>
  <si>
    <t>×1.5</t>
    <phoneticPr fontId="2"/>
  </si>
  <si>
    <t>×２</t>
    <phoneticPr fontId="2"/>
  </si>
  <si>
    <t>レベル２</t>
    <phoneticPr fontId="2"/>
  </si>
  <si>
    <t>レベル３</t>
    <phoneticPr fontId="2"/>
  </si>
  <si>
    <t>就労セミナー（80分）</t>
    <rPh sb="0" eb="2">
      <t>シュウロウ</t>
    </rPh>
    <rPh sb="9" eb="10">
      <t>フン</t>
    </rPh>
    <phoneticPr fontId="2"/>
  </si>
  <si>
    <t>レベル４</t>
    <phoneticPr fontId="2"/>
  </si>
  <si>
    <t>レベル５</t>
    <phoneticPr fontId="2"/>
  </si>
  <si>
    <t>レベル６</t>
    <phoneticPr fontId="2"/>
  </si>
  <si>
    <t>内容</t>
    <rPh sb="0" eb="2">
      <t>ナイヨウ</t>
    </rPh>
    <phoneticPr fontId="2"/>
  </si>
  <si>
    <t>所要時間</t>
    <rPh sb="0" eb="2">
      <t>ショヨウ</t>
    </rPh>
    <rPh sb="2" eb="4">
      <t>ジカン</t>
    </rPh>
    <phoneticPr fontId="2"/>
  </si>
  <si>
    <t>×</t>
    <phoneticPr fontId="2"/>
  </si>
  <si>
    <t>能率</t>
    <rPh sb="0" eb="2">
      <t>ノウリツ</t>
    </rPh>
    <phoneticPr fontId="2"/>
  </si>
  <si>
    <t>=</t>
    <phoneticPr fontId="2"/>
  </si>
  <si>
    <t>1ブロック当たりの所要時間</t>
    <rPh sb="5" eb="6">
      <t>ア</t>
    </rPh>
    <rPh sb="9" eb="11">
      <t>ショヨウ</t>
    </rPh>
    <rPh sb="11" eb="13">
      <t>ジカン</t>
    </rPh>
    <phoneticPr fontId="2"/>
  </si>
  <si>
    <t>タスクAの1日あたりのブロック数</t>
    <rPh sb="6" eb="7">
      <t>ニチ</t>
    </rPh>
    <rPh sb="15" eb="16">
      <t>スウ</t>
    </rPh>
    <phoneticPr fontId="2"/>
  </si>
  <si>
    <t>MWS課題を実施できる時間（秒）</t>
    <rPh sb="3" eb="5">
      <t>カダイ</t>
    </rPh>
    <rPh sb="6" eb="8">
      <t>ジッシ</t>
    </rPh>
    <rPh sb="11" eb="13">
      <t>ジカン</t>
    </rPh>
    <rPh sb="14" eb="15">
      <t>ビョウ</t>
    </rPh>
    <phoneticPr fontId="2"/>
  </si>
  <si>
    <t>タスクBのブロック数</t>
    <rPh sb="9" eb="10">
      <t>スウ</t>
    </rPh>
    <phoneticPr fontId="2"/>
  </si>
  <si>
    <t>タスクDのブロック数</t>
    <rPh sb="9" eb="10">
      <t>スウ</t>
    </rPh>
    <phoneticPr fontId="2"/>
  </si>
  <si>
    <t>タスクGのブロック数</t>
    <rPh sb="9" eb="10">
      <t>スウ</t>
    </rPh>
    <phoneticPr fontId="2"/>
  </si>
  <si>
    <t>1ブロック当たりの標準時間（秒）</t>
    <rPh sb="5" eb="6">
      <t>ア</t>
    </rPh>
    <rPh sb="9" eb="11">
      <t>ヒョウジュン</t>
    </rPh>
    <rPh sb="11" eb="13">
      <t>ジカン</t>
    </rPh>
    <rPh sb="14" eb="15">
      <t>ビョウ</t>
    </rPh>
    <phoneticPr fontId="2"/>
  </si>
  <si>
    <t>タスクC</t>
    <phoneticPr fontId="2"/>
  </si>
  <si>
    <t>タスクE</t>
    <phoneticPr fontId="2"/>
  </si>
  <si>
    <t>タスクF</t>
    <phoneticPr fontId="2"/>
  </si>
  <si>
    <t>MWSレポート</t>
    <phoneticPr fontId="2"/>
  </si>
  <si>
    <t>なし</t>
    <phoneticPr fontId="2"/>
  </si>
  <si>
    <t>アンケートとレポート作成</t>
    <rPh sb="10" eb="12">
      <t>サクセイ</t>
    </rPh>
    <phoneticPr fontId="2"/>
  </si>
  <si>
    <t>社内報原稿</t>
    <rPh sb="0" eb="5">
      <t>シャナイホウゲンコウ</t>
    </rPh>
    <phoneticPr fontId="2"/>
  </si>
  <si>
    <t>選択なし</t>
    <rPh sb="0" eb="2">
      <t>センタク</t>
    </rPh>
    <phoneticPr fontId="2"/>
  </si>
  <si>
    <t>…</t>
    <phoneticPr fontId="2"/>
  </si>
  <si>
    <t>（午前）</t>
    <rPh sb="1" eb="3">
      <t>ゴゼン</t>
    </rPh>
    <phoneticPr fontId="2"/>
  </si>
  <si>
    <t>（午後）</t>
    <rPh sb="1" eb="3">
      <t>ゴゴ</t>
    </rPh>
    <phoneticPr fontId="2"/>
  </si>
  <si>
    <t>（１）スケジュール設定に必要な条件</t>
    <rPh sb="9" eb="11">
      <t>セッテイ</t>
    </rPh>
    <rPh sb="12" eb="14">
      <t>ヒツヨウ</t>
    </rPh>
    <rPh sb="15" eb="17">
      <t>ジョウケン</t>
    </rPh>
    <phoneticPr fontId="2"/>
  </si>
  <si>
    <t>■時間の設定</t>
    <rPh sb="1" eb="3">
      <t>ジカン</t>
    </rPh>
    <rPh sb="4" eb="6">
      <t>セッテイ</t>
    </rPh>
    <phoneticPr fontId="2"/>
  </si>
  <si>
    <t>■作業時間の設定</t>
    <rPh sb="1" eb="3">
      <t>サギョウ</t>
    </rPh>
    <rPh sb="3" eb="5">
      <t>ジカン</t>
    </rPh>
    <rPh sb="6" eb="8">
      <t>セッテイ</t>
    </rPh>
    <phoneticPr fontId="2"/>
  </si>
  <si>
    <t>■プログラム設定に必要な行動</t>
    <rPh sb="6" eb="8">
      <t>セッテイ</t>
    </rPh>
    <rPh sb="9" eb="11">
      <t>ヒツヨウ</t>
    </rPh>
    <rPh sb="12" eb="14">
      <t>コウドウ</t>
    </rPh>
    <phoneticPr fontId="2"/>
  </si>
  <si>
    <t>■ラジオボタンの設定</t>
    <rPh sb="8" eb="10">
      <t>セッテイ</t>
    </rPh>
    <phoneticPr fontId="2"/>
  </si>
  <si>
    <t>■タスクA</t>
    <phoneticPr fontId="2"/>
  </si>
  <si>
    <t>■タスクB</t>
    <phoneticPr fontId="2"/>
  </si>
  <si>
    <t>■タスクD</t>
    <phoneticPr fontId="2"/>
  </si>
  <si>
    <t>■タスクG</t>
    <phoneticPr fontId="2"/>
  </si>
  <si>
    <t>■能率</t>
    <rPh sb="1" eb="3">
      <t>ノウリツ</t>
    </rPh>
    <phoneticPr fontId="2"/>
  </si>
  <si>
    <t>■ブロック数の設定</t>
    <rPh sb="5" eb="6">
      <t>スウ</t>
    </rPh>
    <rPh sb="7" eb="9">
      <t>セッテイ</t>
    </rPh>
    <phoneticPr fontId="2"/>
  </si>
  <si>
    <t>※タスクBのブロック数</t>
    <rPh sb="10" eb="11">
      <t>スウ</t>
    </rPh>
    <phoneticPr fontId="2"/>
  </si>
  <si>
    <t>※タスクDのブロック数</t>
    <rPh sb="10" eb="11">
      <t>スウ</t>
    </rPh>
    <phoneticPr fontId="2"/>
  </si>
  <si>
    <t>※タスクGのブロック数</t>
    <rPh sb="10" eb="11">
      <t>スウ</t>
    </rPh>
    <phoneticPr fontId="2"/>
  </si>
  <si>
    <t>×0.5</t>
    <phoneticPr fontId="2"/>
  </si>
  <si>
    <t>必須</t>
    <rPh sb="0" eb="2">
      <t>ヒッス</t>
    </rPh>
    <phoneticPr fontId="2"/>
  </si>
  <si>
    <t>②次に注意点です。</t>
  </si>
  <si>
    <t>③説明は以上です。さっそく作業管理課題に取りかかってください。</t>
  </si>
  <si>
    <t>【基本作業の教示】</t>
    <rPh sb="1" eb="3">
      <t>キホン</t>
    </rPh>
    <rPh sb="3" eb="5">
      <t>サギョウ</t>
    </rPh>
    <rPh sb="6" eb="8">
      <t>キョウジ</t>
    </rPh>
    <phoneticPr fontId="2"/>
  </si>
  <si>
    <t>に</t>
    <phoneticPr fontId="2"/>
  </si>
  <si>
    <t>を行っていただきます。この作業は必ず</t>
    <rPh sb="1" eb="2">
      <t>オコナ</t>
    </rPh>
    <rPh sb="13" eb="15">
      <t>サギョウ</t>
    </rPh>
    <rPh sb="16" eb="17">
      <t>カナラ</t>
    </rPh>
    <phoneticPr fontId="2"/>
  </si>
  <si>
    <t>に持ち越すことはできません。</t>
    <rPh sb="1" eb="2">
      <t>モ</t>
    </rPh>
    <rPh sb="3" eb="4">
      <t>コ</t>
    </rPh>
    <phoneticPr fontId="2"/>
  </si>
  <si>
    <t>の15時までに、</t>
    <phoneticPr fontId="2"/>
  </si>
  <si>
    <t>を行ってください。</t>
    <rPh sb="1" eb="2">
      <t>オコナ</t>
    </rPh>
    <phoneticPr fontId="2"/>
  </si>
  <si>
    <t>は</t>
    <phoneticPr fontId="2"/>
  </si>
  <si>
    <t>の15時までに</t>
    <phoneticPr fontId="2"/>
  </si>
  <si>
    <t>を完了させてください。</t>
    <phoneticPr fontId="2"/>
  </si>
  <si>
    <t>をめどにお願いします。</t>
    <phoneticPr fontId="2"/>
  </si>
  <si>
    <t>■　タスクF</t>
    <phoneticPr fontId="2"/>
  </si>
  <si>
    <t>■　タスクE</t>
    <phoneticPr fontId="2"/>
  </si>
  <si>
    <t>■　タスクA</t>
    <phoneticPr fontId="2"/>
  </si>
  <si>
    <t>■　タスクG</t>
    <phoneticPr fontId="2"/>
  </si>
  <si>
    <t>です。</t>
    <phoneticPr fontId="2"/>
  </si>
  <si>
    <t>を</t>
    <phoneticPr fontId="2"/>
  </si>
  <si>
    <t>を</t>
    <phoneticPr fontId="2"/>
  </si>
  <si>
    <t>選択</t>
    <rPh sb="0" eb="2">
      <t>センタク</t>
    </rPh>
    <phoneticPr fontId="2"/>
  </si>
  <si>
    <t>作業指示（５分）</t>
    <rPh sb="0" eb="2">
      <t>サギョウ</t>
    </rPh>
    <rPh sb="2" eb="4">
      <t>シジ</t>
    </rPh>
    <rPh sb="6" eb="7">
      <t>フン</t>
    </rPh>
    <phoneticPr fontId="2"/>
  </si>
  <si>
    <t>計画立案（当初:25分）</t>
    <rPh sb="0" eb="2">
      <t>ケイカク</t>
    </rPh>
    <rPh sb="2" eb="4">
      <t>リツアン</t>
    </rPh>
    <rPh sb="5" eb="7">
      <t>トウショ</t>
    </rPh>
    <rPh sb="10" eb="11">
      <t>フン</t>
    </rPh>
    <phoneticPr fontId="2"/>
  </si>
  <si>
    <t>休憩（５分）</t>
    <rPh sb="0" eb="2">
      <t>キュウケイ</t>
    </rPh>
    <rPh sb="4" eb="5">
      <t>フン</t>
    </rPh>
    <phoneticPr fontId="2"/>
  </si>
  <si>
    <t>バックアップ時間（30分）</t>
    <rPh sb="6" eb="8">
      <t>ジカン</t>
    </rPh>
    <rPh sb="11" eb="12">
      <t>フン</t>
    </rPh>
    <phoneticPr fontId="2"/>
  </si>
  <si>
    <t>５日目</t>
    <rPh sb="1" eb="2">
      <t>ニチ</t>
    </rPh>
    <rPh sb="2" eb="3">
      <t>メ</t>
    </rPh>
    <phoneticPr fontId="2"/>
  </si>
  <si>
    <t>翌日</t>
    <rPh sb="0" eb="2">
      <t>ヨクジツ</t>
    </rPh>
    <phoneticPr fontId="2"/>
  </si>
  <si>
    <t>タスクAの実施時間</t>
    <rPh sb="5" eb="7">
      <t>ジッシ</t>
    </rPh>
    <rPh sb="7" eb="9">
      <t>ジカン</t>
    </rPh>
    <phoneticPr fontId="2"/>
  </si>
  <si>
    <t>11時</t>
    <rPh sb="2" eb="3">
      <t>ジ</t>
    </rPh>
    <phoneticPr fontId="2"/>
  </si>
  <si>
    <t>14時</t>
    <rPh sb="2" eb="3">
      <t>ジ</t>
    </rPh>
    <phoneticPr fontId="2"/>
  </si>
  <si>
    <t>で計算してください。</t>
    <rPh sb="1" eb="3">
      <t>ケイサン</t>
    </rPh>
    <phoneticPr fontId="2"/>
  </si>
  <si>
    <t>消費税率８％</t>
    <rPh sb="0" eb="3">
      <t>ショウヒゼイ</t>
    </rPh>
    <rPh sb="3" eb="4">
      <t>リツ</t>
    </rPh>
    <phoneticPr fontId="2"/>
  </si>
  <si>
    <t>消費税率10％</t>
    <rPh sb="0" eb="3">
      <t>ショウヒゼイ</t>
    </rPh>
    <rPh sb="3" eb="4">
      <t>リツ</t>
    </rPh>
    <phoneticPr fontId="2"/>
  </si>
  <si>
    <t>ですが、</t>
    <phoneticPr fontId="2"/>
  </si>
  <si>
    <t>検索修正</t>
    <rPh sb="0" eb="2">
      <t>ケンサク</t>
    </rPh>
    <rPh sb="2" eb="4">
      <t>シュウセイ</t>
    </rPh>
    <phoneticPr fontId="2"/>
  </si>
  <si>
    <t>レベル７</t>
  </si>
  <si>
    <t>レベル８</t>
  </si>
  <si>
    <t>は</t>
    <phoneticPr fontId="2"/>
  </si>
  <si>
    <t>を</t>
    <phoneticPr fontId="2"/>
  </si>
  <si>
    <t>は</t>
    <phoneticPr fontId="2"/>
  </si>
  <si>
    <t>の午前中です。</t>
    <rPh sb="1" eb="4">
      <t>ゴゼンチュウ</t>
    </rPh>
    <phoneticPr fontId="2"/>
  </si>
  <si>
    <t>【選択】</t>
    <rPh sb="1" eb="3">
      <t>センタク</t>
    </rPh>
    <phoneticPr fontId="2"/>
  </si>
  <si>
    <t>・　指定された就労セミナーや個別相談は必ず参加してください。</t>
    <phoneticPr fontId="2"/>
  </si>
  <si>
    <t>・　就労セミナー中に課題を行うこと、昼休みや帰宅後に課題を行うことはできません。</t>
    <phoneticPr fontId="2"/>
  </si>
  <si>
    <t>・　作業管理課題の期間は、いつものやり方と違ってストップウォッチによる時間の計測は行いません。</t>
    <rPh sb="2" eb="4">
      <t>サギョウ</t>
    </rPh>
    <rPh sb="4" eb="6">
      <t>カンリ</t>
    </rPh>
    <phoneticPr fontId="2"/>
  </si>
  <si>
    <t>今日から５日間、作業管理課題を行います。今回は作業管理について〇〇さんの得手不得手を把握することが目的です。テストではありませんので、必要だと思う確認、質問、報告は遠慮せずにしてください。作業管理課題の期間中は、○○さんはWSSP社の総務部に所属している社員であるという設定で作業に取り組んでください。では、作業管理課題を開始します。</t>
    <rPh sb="94" eb="96">
      <t>サギョウ</t>
    </rPh>
    <rPh sb="96" eb="98">
      <t>カンリ</t>
    </rPh>
    <rPh sb="154" eb="156">
      <t>サギョウ</t>
    </rPh>
    <rPh sb="156" eb="158">
      <t>カンリ</t>
    </rPh>
    <phoneticPr fontId="2"/>
  </si>
  <si>
    <t>毎日、</t>
    <rPh sb="0" eb="2">
      <t>マイニチ</t>
    </rPh>
    <phoneticPr fontId="2"/>
  </si>
  <si>
    <t>その日に実施する課題はスタッフがセットしています。セットしている課題全てを行ってください。</t>
    <rPh sb="2" eb="3">
      <t>ヒ</t>
    </rPh>
    <rPh sb="4" eb="6">
      <t>ジッシ</t>
    </rPh>
    <rPh sb="8" eb="10">
      <t>カダイ</t>
    </rPh>
    <rPh sb="32" eb="34">
      <t>カダイ</t>
    </rPh>
    <rPh sb="34" eb="35">
      <t>スベ</t>
    </rPh>
    <rPh sb="37" eb="38">
      <t>オコナ</t>
    </rPh>
    <phoneticPr fontId="2"/>
  </si>
  <si>
    <t>締切日は</t>
    <phoneticPr fontId="2"/>
  </si>
  <si>
    <t>説明は以上です。さっそく作業管理課題に取りかかってください。</t>
    <phoneticPr fontId="2"/>
  </si>
  <si>
    <t>それから、</t>
    <phoneticPr fontId="2"/>
  </si>
  <si>
    <t>物品請求書作成</t>
    <rPh sb="0" eb="2">
      <t>ブッピン</t>
    </rPh>
    <rPh sb="2" eb="5">
      <t>セイキュウショ</t>
    </rPh>
    <rPh sb="5" eb="7">
      <t>サクセイ</t>
    </rPh>
    <phoneticPr fontId="2"/>
  </si>
  <si>
    <t>作業日報集計</t>
    <rPh sb="0" eb="2">
      <t>サギョウ</t>
    </rPh>
    <rPh sb="2" eb="4">
      <t>ニッポウ</t>
    </rPh>
    <rPh sb="4" eb="6">
      <t>シュウケイ</t>
    </rPh>
    <phoneticPr fontId="2"/>
  </si>
  <si>
    <t>行ってください。</t>
    <rPh sb="0" eb="1">
      <t>オコナ</t>
    </rPh>
    <phoneticPr fontId="2"/>
  </si>
  <si>
    <t>週の後半に行ってください。</t>
    <rPh sb="0" eb="1">
      <t>シュウ</t>
    </rPh>
    <rPh sb="2" eb="4">
      <t>コウハン</t>
    </rPh>
    <phoneticPr fontId="2"/>
  </si>
  <si>
    <t>…手入力</t>
    <rPh sb="1" eb="2">
      <t>テ</t>
    </rPh>
    <rPh sb="2" eb="4">
      <t>ニュウリョク</t>
    </rPh>
    <phoneticPr fontId="2"/>
  </si>
  <si>
    <t>…リストから選択</t>
    <rPh sb="6" eb="8">
      <t>センタク</t>
    </rPh>
    <phoneticPr fontId="2"/>
  </si>
  <si>
    <t>…自動計算</t>
    <rPh sb="1" eb="3">
      <t>ジドウ</t>
    </rPh>
    <rPh sb="3" eb="5">
      <t>ケイサン</t>
    </rPh>
    <phoneticPr fontId="2"/>
  </si>
  <si>
    <t>ＭＷＳ以外の課題を実施する時間合計（分）</t>
    <rPh sb="3" eb="5">
      <t>イガイ</t>
    </rPh>
    <rPh sb="6" eb="8">
      <t>カダイ</t>
    </rPh>
    <rPh sb="9" eb="11">
      <t>ジッシ</t>
    </rPh>
    <rPh sb="13" eb="15">
      <t>ジカン</t>
    </rPh>
    <rPh sb="15" eb="17">
      <t>ゴウケイ</t>
    </rPh>
    <rPh sb="18" eb="19">
      <t>フン</t>
    </rPh>
    <phoneticPr fontId="2"/>
  </si>
  <si>
    <t>MWSを実施する時間合計（分）</t>
    <rPh sb="4" eb="6">
      <t>ジッシ</t>
    </rPh>
    <rPh sb="8" eb="10">
      <t>ジカン</t>
    </rPh>
    <rPh sb="10" eb="12">
      <t>ゴウケイ</t>
    </rPh>
    <rPh sb="13" eb="14">
      <t>フン</t>
    </rPh>
    <phoneticPr fontId="2"/>
  </si>
  <si>
    <t>作業管理課題を実施する合計時間(分）</t>
    <rPh sb="0" eb="2">
      <t>サギョウ</t>
    </rPh>
    <rPh sb="2" eb="4">
      <t>カンリ</t>
    </rPh>
    <rPh sb="4" eb="6">
      <t>カダイ</t>
    </rPh>
    <rPh sb="7" eb="9">
      <t>ジッシ</t>
    </rPh>
    <rPh sb="11" eb="13">
      <t>ゴウケイ</t>
    </rPh>
    <rPh sb="13" eb="15">
      <t>ジカン</t>
    </rPh>
    <rPh sb="16" eb="17">
      <t>フン</t>
    </rPh>
    <phoneticPr fontId="2"/>
  </si>
  <si>
    <t>週の後半</t>
    <rPh sb="0" eb="1">
      <t>シュウ</t>
    </rPh>
    <rPh sb="2" eb="4">
      <t>コウハン</t>
    </rPh>
    <phoneticPr fontId="2"/>
  </si>
  <si>
    <t>５日目</t>
    <rPh sb="1" eb="2">
      <t>ニチ</t>
    </rPh>
    <rPh sb="2" eb="3">
      <t>メ</t>
    </rPh>
    <phoneticPr fontId="2"/>
  </si>
  <si>
    <t>タスクAの所要時間（秒）全体の20％</t>
    <rPh sb="5" eb="7">
      <t>ショヨウ</t>
    </rPh>
    <rPh sb="7" eb="9">
      <t>ジカン</t>
    </rPh>
    <rPh sb="10" eb="11">
      <t>ビョウ</t>
    </rPh>
    <rPh sb="12" eb="14">
      <t>ゼンタイ</t>
    </rPh>
    <phoneticPr fontId="2"/>
  </si>
  <si>
    <t>タスクBの所要時間（秒）全体の20％</t>
    <rPh sb="5" eb="7">
      <t>ショヨウ</t>
    </rPh>
    <rPh sb="7" eb="9">
      <t>ジカン</t>
    </rPh>
    <rPh sb="10" eb="11">
      <t>ビョウ</t>
    </rPh>
    <rPh sb="12" eb="14">
      <t>ゼンタイ</t>
    </rPh>
    <phoneticPr fontId="2"/>
  </si>
  <si>
    <t>タスクDの所要時間（秒）全体の35％</t>
    <rPh sb="5" eb="7">
      <t>ショヨウ</t>
    </rPh>
    <rPh sb="7" eb="9">
      <t>ジカン</t>
    </rPh>
    <rPh sb="10" eb="11">
      <t>ビョウ</t>
    </rPh>
    <rPh sb="12" eb="14">
      <t>ゼンタイ</t>
    </rPh>
    <phoneticPr fontId="2"/>
  </si>
  <si>
    <t>※タスクDの所要時間（秒）全体の35％の1/2</t>
    <rPh sb="6" eb="8">
      <t>ショヨウ</t>
    </rPh>
    <rPh sb="8" eb="10">
      <t>ジカン</t>
    </rPh>
    <rPh sb="11" eb="12">
      <t>ビョウ</t>
    </rPh>
    <rPh sb="13" eb="15">
      <t>ゼンタイ</t>
    </rPh>
    <phoneticPr fontId="2"/>
  </si>
  <si>
    <t>タスクGの所要時間（秒）全体の25％</t>
    <rPh sb="5" eb="9">
      <t>ショヨウジカン</t>
    </rPh>
    <rPh sb="10" eb="11">
      <t>ビョウ</t>
    </rPh>
    <rPh sb="12" eb="14">
      <t>ゼンタイ</t>
    </rPh>
    <phoneticPr fontId="2"/>
  </si>
  <si>
    <t>※タスクGの所要時間（秒）全体の25％の1/2</t>
    <rPh sb="6" eb="10">
      <t>ショヨウジカン</t>
    </rPh>
    <rPh sb="11" eb="12">
      <t>ビョウ</t>
    </rPh>
    <rPh sb="13" eb="15">
      <t>ゼンタイ</t>
    </rPh>
    <phoneticPr fontId="2"/>
  </si>
  <si>
    <t>※タスクBの所要時間（秒）全体の20％の1/2</t>
    <rPh sb="6" eb="8">
      <t>ショヨウ</t>
    </rPh>
    <rPh sb="8" eb="10">
      <t>ジカン</t>
    </rPh>
    <rPh sb="11" eb="12">
      <t>ビョウ</t>
    </rPh>
    <rPh sb="13" eb="15">
      <t>ゼンタイ</t>
    </rPh>
    <phoneticPr fontId="2"/>
  </si>
  <si>
    <t>×0.75</t>
    <phoneticPr fontId="2"/>
  </si>
  <si>
    <t>×1.25</t>
    <phoneticPr fontId="2"/>
  </si>
  <si>
    <t>×1.75</t>
    <phoneticPr fontId="2"/>
  </si>
  <si>
    <t>15時です。</t>
    <rPh sb="2" eb="3">
      <t>ジ</t>
    </rPh>
    <phoneticPr fontId="2"/>
  </si>
  <si>
    <t>の</t>
    <phoneticPr fontId="2"/>
  </si>
  <si>
    <t>に完了</t>
    <rPh sb="1" eb="3">
      <t>カンリョウ</t>
    </rPh>
    <phoneticPr fontId="2"/>
  </si>
  <si>
    <t>させてください。課題は</t>
    <rPh sb="8" eb="10">
      <t>カダイ</t>
    </rPh>
    <phoneticPr fontId="2"/>
  </si>
  <si>
    <t>■教示文へのリンクデータ</t>
    <rPh sb="1" eb="3">
      <t>キョウジ</t>
    </rPh>
    <rPh sb="3" eb="4">
      <t>ブン</t>
    </rPh>
    <phoneticPr fontId="2"/>
  </si>
  <si>
    <t>最遅で</t>
    <phoneticPr fontId="2"/>
  </si>
  <si>
    <t>■MWS課題とブロック数の設定</t>
    <rPh sb="4" eb="6">
      <t>カダイ</t>
    </rPh>
    <rPh sb="11" eb="12">
      <t>スウ</t>
    </rPh>
    <rPh sb="13" eb="15">
      <t>セッテイ</t>
    </rPh>
    <phoneticPr fontId="2"/>
  </si>
  <si>
    <t>■MWS課題の時間計算</t>
    <rPh sb="4" eb="6">
      <t>カダイ</t>
    </rPh>
    <rPh sb="7" eb="9">
      <t>ジカン</t>
    </rPh>
    <rPh sb="9" eb="11">
      <t>ケイサン</t>
    </rPh>
    <phoneticPr fontId="2"/>
  </si>
  <si>
    <r>
      <rPr>
        <b/>
        <sz val="11"/>
        <color theme="1"/>
        <rFont val="HG丸ｺﾞｼｯｸM-PRO"/>
        <family val="3"/>
        <charset val="128"/>
      </rPr>
      <t>作業の進捗報告</t>
    </r>
    <r>
      <rPr>
        <sz val="11"/>
        <color theme="1"/>
        <rFont val="ＭＳ 明朝"/>
        <family val="1"/>
        <charset val="128"/>
      </rPr>
      <t>を</t>
    </r>
    <rPh sb="0" eb="2">
      <t>サギョウ</t>
    </rPh>
    <rPh sb="3" eb="5">
      <t>シンチョク</t>
    </rPh>
    <rPh sb="5" eb="7">
      <t>ホウコク</t>
    </rPh>
    <phoneticPr fontId="2"/>
  </si>
  <si>
    <r>
      <t>ブロック</t>
    </r>
    <r>
      <rPr>
        <b/>
        <sz val="11"/>
        <color rgb="FFFF0000"/>
        <rFont val="HG丸ｺﾞｼｯｸM-PRO"/>
        <family val="3"/>
        <charset val="128"/>
      </rPr>
      <t>分</t>
    </r>
    <r>
      <rPr>
        <sz val="11"/>
        <color theme="1"/>
        <rFont val="ＭＳ 明朝"/>
        <family val="1"/>
        <charset val="128"/>
      </rPr>
      <t>、</t>
    </r>
    <rPh sb="4" eb="5">
      <t>ブン</t>
    </rPh>
    <phoneticPr fontId="2"/>
  </si>
  <si>
    <t>ブロック数</t>
    <rPh sb="4" eb="5">
      <t>スウ</t>
    </rPh>
    <phoneticPr fontId="2"/>
  </si>
  <si>
    <t>タスクB</t>
    <phoneticPr fontId="2"/>
  </si>
  <si>
    <t>想定する
作業能率</t>
    <rPh sb="0" eb="2">
      <t>ソウテイ</t>
    </rPh>
    <rPh sb="5" eb="9">
      <t>サギョウノウリツ</t>
    </rPh>
    <phoneticPr fontId="2"/>
  </si>
  <si>
    <t>数値チェック：Lv１</t>
    <rPh sb="0" eb="2">
      <t>スウチ</t>
    </rPh>
    <phoneticPr fontId="2"/>
  </si>
  <si>
    <t>数値チェック：Lv２</t>
    <rPh sb="0" eb="2">
      <t>スウチ</t>
    </rPh>
    <phoneticPr fontId="2"/>
  </si>
  <si>
    <t>数値チェック：Lv３</t>
    <rPh sb="0" eb="2">
      <t>スウチ</t>
    </rPh>
    <phoneticPr fontId="2"/>
  </si>
  <si>
    <t>数値チェック：Lv４</t>
    <rPh sb="0" eb="2">
      <t>スウチ</t>
    </rPh>
    <phoneticPr fontId="2"/>
  </si>
  <si>
    <t>数値チェック：Lv５</t>
    <rPh sb="0" eb="2">
      <t>スウチ</t>
    </rPh>
    <phoneticPr fontId="2"/>
  </si>
  <si>
    <t>数値チェック：Lv６</t>
    <rPh sb="0" eb="2">
      <t>スウチ</t>
    </rPh>
    <phoneticPr fontId="2"/>
  </si>
  <si>
    <t>数値チェック：Lv７</t>
    <rPh sb="0" eb="2">
      <t>スウチ</t>
    </rPh>
    <phoneticPr fontId="2"/>
  </si>
  <si>
    <t>数値チェック：Lv８</t>
    <rPh sb="0" eb="2">
      <t>スウチ</t>
    </rPh>
    <phoneticPr fontId="2"/>
  </si>
  <si>
    <t>　　検索修正：Lv1</t>
    <rPh sb="2" eb="4">
      <t>ケンサク</t>
    </rPh>
    <rPh sb="4" eb="6">
      <t>シュウセイ</t>
    </rPh>
    <phoneticPr fontId="2"/>
  </si>
  <si>
    <t>　　検索修正：Lv2</t>
    <rPh sb="2" eb="4">
      <t>ケンサク</t>
    </rPh>
    <rPh sb="4" eb="6">
      <t>シュウセイ</t>
    </rPh>
    <phoneticPr fontId="2"/>
  </si>
  <si>
    <t>　　検索修正：Lv3</t>
    <rPh sb="2" eb="4">
      <t>ケンサク</t>
    </rPh>
    <rPh sb="4" eb="6">
      <t>シュウセイ</t>
    </rPh>
    <phoneticPr fontId="2"/>
  </si>
  <si>
    <t>　　検索修正：Lv4</t>
    <rPh sb="2" eb="4">
      <t>ケンサク</t>
    </rPh>
    <rPh sb="4" eb="6">
      <t>シュウセイ</t>
    </rPh>
    <phoneticPr fontId="2"/>
  </si>
  <si>
    <t>　　検索修正：Lv5</t>
    <rPh sb="2" eb="4">
      <t>ケンサク</t>
    </rPh>
    <rPh sb="4" eb="6">
      <t>シュウセイ</t>
    </rPh>
    <phoneticPr fontId="2"/>
  </si>
  <si>
    <t>　　検索修正：Lv6</t>
    <rPh sb="2" eb="4">
      <t>ケンサク</t>
    </rPh>
    <rPh sb="4" eb="6">
      <t>シュウセイ</t>
    </rPh>
    <phoneticPr fontId="2"/>
  </si>
  <si>
    <t>数値入力：Lv１</t>
    <rPh sb="0" eb="2">
      <t>スウチ</t>
    </rPh>
    <rPh sb="2" eb="4">
      <t>ニュウリョク</t>
    </rPh>
    <phoneticPr fontId="2"/>
  </si>
  <si>
    <t>数値入力：Lv２</t>
    <rPh sb="0" eb="2">
      <t>スウチ</t>
    </rPh>
    <rPh sb="2" eb="4">
      <t>ニュウリョク</t>
    </rPh>
    <phoneticPr fontId="2"/>
  </si>
  <si>
    <t>数値入力：Lv３</t>
    <rPh sb="0" eb="2">
      <t>スウチ</t>
    </rPh>
    <rPh sb="2" eb="4">
      <t>ニュウリョク</t>
    </rPh>
    <phoneticPr fontId="2"/>
  </si>
  <si>
    <t>数値入力：Lv４</t>
    <rPh sb="0" eb="2">
      <t>スウチ</t>
    </rPh>
    <rPh sb="2" eb="4">
      <t>ニュウリョク</t>
    </rPh>
    <phoneticPr fontId="2"/>
  </si>
  <si>
    <t>数値入力：Lv５</t>
    <rPh sb="0" eb="2">
      <t>スウチ</t>
    </rPh>
    <rPh sb="2" eb="4">
      <t>ニュウリョク</t>
    </rPh>
    <phoneticPr fontId="2"/>
  </si>
  <si>
    <t>数値入力：Lv６</t>
    <rPh sb="0" eb="2">
      <t>スウチ</t>
    </rPh>
    <rPh sb="2" eb="4">
      <t>ニュウリョク</t>
    </rPh>
    <phoneticPr fontId="2"/>
  </si>
  <si>
    <t>数値入力：Lv７</t>
    <rPh sb="0" eb="2">
      <t>スウチ</t>
    </rPh>
    <rPh sb="2" eb="4">
      <t>ニュウリョク</t>
    </rPh>
    <phoneticPr fontId="2"/>
  </si>
  <si>
    <t>数値入力：Lv８</t>
    <rPh sb="0" eb="2">
      <t>スウチ</t>
    </rPh>
    <rPh sb="2" eb="4">
      <t>ニュウリョク</t>
    </rPh>
    <phoneticPr fontId="2"/>
  </si>
  <si>
    <t>　物品請求書：Lv１</t>
    <rPh sb="3" eb="6">
      <t>セイキュウショ</t>
    </rPh>
    <phoneticPr fontId="2"/>
  </si>
  <si>
    <t>　物品請求書：Lv２</t>
    <rPh sb="3" eb="6">
      <t>セイキュウショ</t>
    </rPh>
    <phoneticPr fontId="2"/>
  </si>
  <si>
    <t>　物品請求書：Lv３</t>
    <rPh sb="3" eb="6">
      <t>セイキュウショ</t>
    </rPh>
    <phoneticPr fontId="2"/>
  </si>
  <si>
    <t>　物品請求書：Lv４</t>
    <rPh sb="3" eb="6">
      <t>セイキュウショ</t>
    </rPh>
    <phoneticPr fontId="2"/>
  </si>
  <si>
    <t>　物品請求書：Lv５</t>
    <rPh sb="3" eb="6">
      <t>セイキュウショ</t>
    </rPh>
    <phoneticPr fontId="2"/>
  </si>
  <si>
    <t>　物品請求書：Lv６</t>
    <rPh sb="3" eb="6">
      <t>セイキュウショ</t>
    </rPh>
    <phoneticPr fontId="2"/>
  </si>
  <si>
    <t>作業日報集計：Lv１</t>
    <rPh sb="0" eb="2">
      <t>サギョウ</t>
    </rPh>
    <rPh sb="2" eb="4">
      <t>ニッポウ</t>
    </rPh>
    <rPh sb="4" eb="6">
      <t>シュウケイ</t>
    </rPh>
    <phoneticPr fontId="2"/>
  </si>
  <si>
    <t>作業日報集計：Lv２</t>
    <rPh sb="0" eb="2">
      <t>サギョウ</t>
    </rPh>
    <rPh sb="2" eb="4">
      <t>ニッポウ</t>
    </rPh>
    <rPh sb="4" eb="6">
      <t>シュウケイ</t>
    </rPh>
    <phoneticPr fontId="2"/>
  </si>
  <si>
    <t>作業日報集計：Lv３</t>
    <rPh sb="0" eb="2">
      <t>サギョウ</t>
    </rPh>
    <rPh sb="2" eb="4">
      <t>ニッポウ</t>
    </rPh>
    <rPh sb="4" eb="6">
      <t>シュウケイ</t>
    </rPh>
    <phoneticPr fontId="2"/>
  </si>
  <si>
    <t>作業日報集計：Lv４</t>
    <rPh sb="0" eb="2">
      <t>サギョウ</t>
    </rPh>
    <rPh sb="2" eb="4">
      <t>ニッポウ</t>
    </rPh>
    <rPh sb="4" eb="6">
      <t>シュウケイ</t>
    </rPh>
    <phoneticPr fontId="2"/>
  </si>
  <si>
    <t>作業日報集計：Lv５</t>
    <rPh sb="0" eb="2">
      <t>サギョウ</t>
    </rPh>
    <rPh sb="2" eb="4">
      <t>ニッポウ</t>
    </rPh>
    <rPh sb="4" eb="6">
      <t>シュウケイ</t>
    </rPh>
    <phoneticPr fontId="2"/>
  </si>
  <si>
    <t>　　選択なし</t>
    <rPh sb="2" eb="4">
      <t>センタク</t>
    </rPh>
    <phoneticPr fontId="2"/>
  </si>
  <si>
    <t>ラベル作成：Lv１</t>
    <rPh sb="3" eb="5">
      <t>サクセイ</t>
    </rPh>
    <phoneticPr fontId="2"/>
  </si>
  <si>
    <t>ラベル作成：Lv２</t>
    <rPh sb="3" eb="5">
      <t>サクセイ</t>
    </rPh>
    <phoneticPr fontId="2"/>
  </si>
  <si>
    <t>ラベル作成：Lv３</t>
    <rPh sb="3" eb="5">
      <t>サクセイ</t>
    </rPh>
    <phoneticPr fontId="2"/>
  </si>
  <si>
    <t>ラベル作成：Lv４</t>
    <rPh sb="3" eb="5">
      <t>サクセイ</t>
    </rPh>
    <phoneticPr fontId="2"/>
  </si>
  <si>
    <t>ラベル作成：Lv５</t>
    <rPh sb="3" eb="5">
      <t>サクセイ</t>
    </rPh>
    <phoneticPr fontId="2"/>
  </si>
  <si>
    <t>各タスクの内容</t>
    <rPh sb="0" eb="1">
      <t>カク</t>
    </rPh>
    <rPh sb="5" eb="7">
      <t>ナイヨウ</t>
    </rPh>
    <phoneticPr fontId="2"/>
  </si>
  <si>
    <t>A</t>
    <phoneticPr fontId="2"/>
  </si>
  <si>
    <t>B</t>
    <phoneticPr fontId="2"/>
  </si>
  <si>
    <t>D</t>
    <phoneticPr fontId="2"/>
  </si>
  <si>
    <t>G</t>
    <phoneticPr fontId="2"/>
  </si>
  <si>
    <t>　物品請求書</t>
    <rPh sb="1" eb="3">
      <t>ブッピン</t>
    </rPh>
    <rPh sb="3" eb="6">
      <t>セイキュウショ</t>
    </rPh>
    <phoneticPr fontId="2"/>
  </si>
  <si>
    <t>文書入力：Lv１</t>
    <rPh sb="0" eb="2">
      <t>ブンショ</t>
    </rPh>
    <rPh sb="2" eb="4">
      <t>ニュウリョク</t>
    </rPh>
    <phoneticPr fontId="2"/>
  </si>
  <si>
    <t>文書入力：Lv２</t>
    <rPh sb="0" eb="2">
      <t>ブンショ</t>
    </rPh>
    <rPh sb="2" eb="4">
      <t>ニュウリョク</t>
    </rPh>
    <phoneticPr fontId="2"/>
  </si>
  <si>
    <t>文書入力：Lv３</t>
    <rPh sb="0" eb="2">
      <t>ブンショ</t>
    </rPh>
    <rPh sb="2" eb="4">
      <t>ニュウリョク</t>
    </rPh>
    <phoneticPr fontId="2"/>
  </si>
  <si>
    <t>文書入力：Lv４</t>
    <rPh sb="0" eb="2">
      <t>ブンショ</t>
    </rPh>
    <rPh sb="2" eb="4">
      <t>ニュウリョク</t>
    </rPh>
    <phoneticPr fontId="2"/>
  </si>
  <si>
    <t>文書入力：Lv５</t>
    <rPh sb="0" eb="2">
      <t>ブンショ</t>
    </rPh>
    <rPh sb="2" eb="4">
      <t>ニュウリョク</t>
    </rPh>
    <phoneticPr fontId="2"/>
  </si>
  <si>
    <r>
      <t>の</t>
    </r>
    <r>
      <rPr>
        <b/>
        <sz val="11"/>
        <color theme="1"/>
        <rFont val="HG丸ｺﾞｼｯｸM-PRO"/>
        <family val="3"/>
        <charset val="128"/>
      </rPr>
      <t>２</t>
    </r>
    <r>
      <rPr>
        <sz val="11"/>
        <color theme="1"/>
        <rFont val="ＭＳ 明朝"/>
        <family val="1"/>
        <charset val="128"/>
      </rPr>
      <t>から</t>
    </r>
    <phoneticPr fontId="2"/>
  </si>
  <si>
    <r>
      <t>の</t>
    </r>
    <r>
      <rPr>
        <b/>
        <sz val="11"/>
        <color theme="1"/>
        <rFont val="HG丸ｺﾞｼｯｸM-PRO"/>
        <family val="3"/>
        <charset val="128"/>
      </rPr>
      <t>３</t>
    </r>
    <r>
      <rPr>
        <sz val="11"/>
        <color theme="1"/>
        <rFont val="ＭＳ 明朝"/>
        <family val="1"/>
        <charset val="128"/>
      </rPr>
      <t>から</t>
    </r>
    <phoneticPr fontId="2"/>
  </si>
  <si>
    <r>
      <t>と</t>
    </r>
    <r>
      <rPr>
        <b/>
        <sz val="11"/>
        <color theme="1"/>
        <rFont val="HG丸ｺﾞｼｯｸM-PRO"/>
        <family val="3"/>
        <charset val="128"/>
      </rPr>
      <t>MWSのレポート作成</t>
    </r>
    <r>
      <rPr>
        <sz val="11"/>
        <color theme="1"/>
        <rFont val="ＭＳ 明朝"/>
        <family val="1"/>
        <charset val="128"/>
      </rPr>
      <t>を行ってください。</t>
    </r>
    <phoneticPr fontId="2"/>
  </si>
  <si>
    <t>仕事の内容は</t>
  </si>
  <si>
    <t>ピッキング：Lv１</t>
    <phoneticPr fontId="2"/>
  </si>
  <si>
    <t>ピッキング：Lv３</t>
  </si>
  <si>
    <t>ピッキング：Lv４</t>
  </si>
  <si>
    <t>ピッキング：Lv５</t>
  </si>
  <si>
    <t>ピッキング：Lv６</t>
  </si>
  <si>
    <t>ピッキング：Lv７</t>
  </si>
  <si>
    <t>締切日</t>
    <rPh sb="0" eb="3">
      <t>シメキリビ</t>
    </rPh>
    <phoneticPr fontId="2"/>
  </si>
  <si>
    <t>締切時間</t>
    <rPh sb="0" eb="1">
      <t>シ</t>
    </rPh>
    <rPh sb="1" eb="2">
      <t>キ</t>
    </rPh>
    <rPh sb="2" eb="4">
      <t>ジカン</t>
    </rPh>
    <phoneticPr fontId="2"/>
  </si>
  <si>
    <t>期日</t>
    <rPh sb="0" eb="2">
      <t>キジツ</t>
    </rPh>
    <phoneticPr fontId="2"/>
  </si>
  <si>
    <t>に</t>
    <phoneticPr fontId="2"/>
  </si>
  <si>
    <t>に完了させ</t>
    <rPh sb="1" eb="3">
      <t>カンリョウ</t>
    </rPh>
    <phoneticPr fontId="2"/>
  </si>
  <si>
    <t>てください。課題は</t>
    <rPh sb="6" eb="8">
      <t>カダイ</t>
    </rPh>
    <phoneticPr fontId="2"/>
  </si>
  <si>
    <t>タスクA開始時間</t>
    <rPh sb="4" eb="6">
      <t>カイシ</t>
    </rPh>
    <rPh sb="6" eb="8">
      <t>ジカン</t>
    </rPh>
    <phoneticPr fontId="2"/>
  </si>
  <si>
    <t>タスクG指示出日</t>
    <rPh sb="4" eb="6">
      <t>シジ</t>
    </rPh>
    <rPh sb="6" eb="7">
      <t>ダ</t>
    </rPh>
    <rPh sb="7" eb="8">
      <t>ビ</t>
    </rPh>
    <phoneticPr fontId="2"/>
  </si>
  <si>
    <t>11月8日</t>
    <rPh sb="2" eb="3">
      <t>ガツ</t>
    </rPh>
    <rPh sb="4" eb="5">
      <t>ニチ</t>
    </rPh>
    <phoneticPr fontId="2"/>
  </si>
  <si>
    <t>11月9日</t>
    <rPh sb="2" eb="3">
      <t>ガツ</t>
    </rPh>
    <rPh sb="4" eb="5">
      <t>ニチ</t>
    </rPh>
    <phoneticPr fontId="2"/>
  </si>
  <si>
    <t>11月10日</t>
    <rPh sb="2" eb="3">
      <t>ガツ</t>
    </rPh>
    <rPh sb="5" eb="6">
      <t>ニチ</t>
    </rPh>
    <phoneticPr fontId="2"/>
  </si>
  <si>
    <t>■曜日の設定</t>
    <rPh sb="1" eb="3">
      <t>ヨウビ</t>
    </rPh>
    <rPh sb="4" eb="6">
      <t>セッテイ</t>
    </rPh>
    <phoneticPr fontId="2"/>
  </si>
  <si>
    <t>タスクの内容とレベル（Lv）</t>
    <rPh sb="4" eb="6">
      <t>ナイヨウ</t>
    </rPh>
    <phoneticPr fontId="2"/>
  </si>
  <si>
    <t>総計欄のみ少数点第２位を切り上げ</t>
    <rPh sb="0" eb="2">
      <t>ソウケイ</t>
    </rPh>
    <rPh sb="2" eb="3">
      <t>ラン</t>
    </rPh>
    <phoneticPr fontId="2"/>
  </si>
  <si>
    <t>総計欄のみ少数点第２位を四捨五入</t>
    <rPh sb="0" eb="2">
      <t>ソウケイ</t>
    </rPh>
    <rPh sb="2" eb="3">
      <t>ラン</t>
    </rPh>
    <phoneticPr fontId="2"/>
  </si>
  <si>
    <t>最終日の■時00分～■時15分の間に行ってください。</t>
    <rPh sb="0" eb="3">
      <t>サイシュウビ</t>
    </rPh>
    <rPh sb="5" eb="6">
      <t>ジ</t>
    </rPh>
    <rPh sb="8" eb="9">
      <t>フン</t>
    </rPh>
    <rPh sb="11" eb="12">
      <t>ジ</t>
    </rPh>
    <rPh sb="14" eb="15">
      <t>フン</t>
    </rPh>
    <rPh sb="16" eb="17">
      <t>アイダ</t>
    </rPh>
    <rPh sb="18" eb="19">
      <t>オコナ</t>
    </rPh>
    <phoneticPr fontId="2"/>
  </si>
  <si>
    <t>ブロック</t>
    <phoneticPr fontId="2"/>
  </si>
  <si>
    <t>と</t>
    <phoneticPr fontId="2"/>
  </si>
  <si>
    <t>ブロック、</t>
    <phoneticPr fontId="2"/>
  </si>
  <si>
    <t>ブロック</t>
    <phoneticPr fontId="2"/>
  </si>
  <si>
    <t>総計の不良率欄のみ少数点第２位を切り上げ</t>
    <rPh sb="0" eb="2">
      <t>ソウケイ</t>
    </rPh>
    <rPh sb="3" eb="6">
      <t>フリョウリツ</t>
    </rPh>
    <rPh sb="6" eb="7">
      <t>ラン</t>
    </rPh>
    <phoneticPr fontId="2"/>
  </si>
  <si>
    <t>総計の不良率欄のみ少数点第２位を四捨五入</t>
    <rPh sb="0" eb="2">
      <t>ソウケイ</t>
    </rPh>
    <rPh sb="3" eb="6">
      <t>フリョウリツ</t>
    </rPh>
    <rPh sb="6" eb="7">
      <t>ラン</t>
    </rPh>
    <phoneticPr fontId="2"/>
  </si>
  <si>
    <t>11月11日</t>
    <rPh sb="2" eb="3">
      <t>ガツ</t>
    </rPh>
    <rPh sb="5" eb="6">
      <t>ニチ</t>
    </rPh>
    <phoneticPr fontId="2"/>
  </si>
  <si>
    <t>11月12日</t>
    <rPh sb="2" eb="3">
      <t>ガツ</t>
    </rPh>
    <rPh sb="5" eb="6">
      <t>ニチ</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</si>
  <si>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</si>
  <si>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</si>
  <si>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</si>
  <si>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</si>
  <si>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</si>
  <si>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2">
      <t>ドヨウ</t>
    </rPh>
    <rPh sb="2" eb="3">
      <t>ビ</t>
    </rPh>
    <phoneticPr fontId="2"/>
  </si>
  <si>
    <t>日曜日</t>
    <rPh sb="0" eb="3">
      <t>ニチヨウビ</t>
    </rPh>
    <phoneticPr fontId="2"/>
  </si>
  <si>
    <t>A</t>
    <phoneticPr fontId="2"/>
  </si>
  <si>
    <t>B-1</t>
    <phoneticPr fontId="2"/>
  </si>
  <si>
    <t>B-2</t>
    <phoneticPr fontId="2"/>
  </si>
  <si>
    <t>D-1</t>
    <phoneticPr fontId="2"/>
  </si>
  <si>
    <t>D-2</t>
    <phoneticPr fontId="2"/>
  </si>
  <si>
    <t>G-1</t>
    <phoneticPr fontId="2"/>
  </si>
  <si>
    <t>G-2</t>
    <phoneticPr fontId="2"/>
  </si>
  <si>
    <t>ピッキング：Lv２</t>
    <phoneticPr fontId="2"/>
  </si>
  <si>
    <t xml:space="preserve"> 郵便仕分け：Lv１</t>
    <rPh sb="1" eb="3">
      <t>ユウビン</t>
    </rPh>
    <rPh sb="3" eb="5">
      <t>シワ</t>
    </rPh>
    <phoneticPr fontId="2"/>
  </si>
  <si>
    <t xml:space="preserve"> 郵便仕分け：Lv２</t>
    <rPh sb="1" eb="3">
      <t>ユウビン</t>
    </rPh>
    <rPh sb="3" eb="5">
      <t>シワ</t>
    </rPh>
    <phoneticPr fontId="2"/>
  </si>
  <si>
    <t xml:space="preserve"> 郵便仕分け：Lv３</t>
    <rPh sb="1" eb="3">
      <t>ユウビン</t>
    </rPh>
    <rPh sb="3" eb="5">
      <t>シワ</t>
    </rPh>
    <phoneticPr fontId="2"/>
  </si>
  <si>
    <t xml:space="preserve"> 郵便仕分け：Lv４</t>
    <rPh sb="1" eb="3">
      <t>ユウビン</t>
    </rPh>
    <rPh sb="3" eb="5">
      <t>シワ</t>
    </rPh>
    <phoneticPr fontId="2"/>
  </si>
  <si>
    <t xml:space="preserve"> 郵便仕分け：Lv５</t>
    <rPh sb="1" eb="3">
      <t>ユウビン</t>
    </rPh>
    <rPh sb="3" eb="5">
      <t>シワ</t>
    </rPh>
    <phoneticPr fontId="2"/>
  </si>
  <si>
    <t>■課題とブロック数の設定</t>
    <rPh sb="1" eb="3">
      <t>カダイ</t>
    </rPh>
    <rPh sb="8" eb="9">
      <t>スウ</t>
    </rPh>
    <rPh sb="10" eb="12">
      <t>セッテイ</t>
    </rPh>
    <phoneticPr fontId="2"/>
  </si>
  <si>
    <t>と</t>
    <phoneticPr fontId="2"/>
  </si>
  <si>
    <t>ブロック、</t>
    <phoneticPr fontId="2"/>
  </si>
  <si>
    <t>ブロック、行ってください。</t>
    <rPh sb="5" eb="6">
      <t>オコナ</t>
    </rPh>
    <phoneticPr fontId="2"/>
  </si>
  <si>
    <t>を行ってください。この作業は必ず</t>
    <rPh sb="1" eb="2">
      <t>オコナ</t>
    </rPh>
    <rPh sb="11" eb="13">
      <t>サギョウ</t>
    </rPh>
    <rPh sb="14" eb="15">
      <t>カナラ</t>
    </rPh>
    <phoneticPr fontId="2"/>
  </si>
  <si>
    <t>第１回</t>
    <rPh sb="0" eb="1">
      <t>ダイ</t>
    </rPh>
    <rPh sb="2" eb="3">
      <t>カイ</t>
    </rPh>
    <phoneticPr fontId="2"/>
  </si>
  <si>
    <t>第２回</t>
    <rPh sb="0" eb="1">
      <t>ダイ</t>
    </rPh>
    <rPh sb="2" eb="3">
      <t>カイ</t>
    </rPh>
    <phoneticPr fontId="2"/>
  </si>
  <si>
    <t>進捗報告（日時指定なし）</t>
    <rPh sb="0" eb="2">
      <t>シンチョク</t>
    </rPh>
    <rPh sb="2" eb="4">
      <t>ホウコク</t>
    </rPh>
    <rPh sb="5" eb="7">
      <t>ニチジ</t>
    </rPh>
    <rPh sb="7" eb="9">
      <t>シテイ</t>
    </rPh>
    <phoneticPr fontId="2"/>
  </si>
  <si>
    <t>進捗報告（日時指定あり）</t>
    <rPh sb="0" eb="2">
      <t>シンチョク</t>
    </rPh>
    <rPh sb="2" eb="4">
      <t>ホウコク</t>
    </rPh>
    <rPh sb="5" eb="7">
      <t>ニチジ</t>
    </rPh>
    <rPh sb="7" eb="9">
      <t>シテイ</t>
    </rPh>
    <phoneticPr fontId="2"/>
  </si>
  <si>
    <t>第１回 作業管理課題教示文</t>
    <rPh sb="4" eb="6">
      <t>サギョウ</t>
    </rPh>
    <rPh sb="6" eb="8">
      <t>カンリ</t>
    </rPh>
    <rPh sb="8" eb="10">
      <t>カダイ</t>
    </rPh>
    <rPh sb="10" eb="12">
      <t>キョウジ</t>
    </rPh>
    <rPh sb="12" eb="13">
      <t>ブン</t>
    </rPh>
    <phoneticPr fontId="2"/>
  </si>
  <si>
    <t>広報課からは来週までに原稿を提出して欲しいと依頼メールが来ているので、</t>
    <phoneticPr fontId="2"/>
  </si>
  <si>
    <t>急ぎの仕事が入りましたので対応をお願いします。内容は</t>
    <rPh sb="13" eb="15">
      <t>タイオウ</t>
    </rPh>
    <rPh sb="17" eb="18">
      <t>ネガ</t>
    </rPh>
    <phoneticPr fontId="2"/>
  </si>
  <si>
    <t>第２回 作業管理課題教示文</t>
    <rPh sb="4" eb="6">
      <t>サギョウ</t>
    </rPh>
    <rPh sb="6" eb="8">
      <t>カンリ</t>
    </rPh>
    <rPh sb="8" eb="10">
      <t>カダイ</t>
    </rPh>
    <rPh sb="10" eb="12">
      <t>キョウジ</t>
    </rPh>
    <rPh sb="12" eb="13">
      <t>ブン</t>
    </rPh>
    <phoneticPr fontId="2"/>
  </si>
  <si>
    <t>②次に注意点です。</t>
    <rPh sb="1" eb="2">
      <t>ツギ</t>
    </rPh>
    <phoneticPr fontId="2"/>
  </si>
  <si>
    <t>急ぎの仕事が入りましたので対応をお願いします。</t>
    <rPh sb="13" eb="15">
      <t>タイオウ</t>
    </rPh>
    <rPh sb="17" eb="18">
      <t>ネガ</t>
    </rPh>
    <phoneticPr fontId="2"/>
  </si>
  <si>
    <t>作業管理課題　第1回用</t>
  </si>
  <si>
    <t>（メールにてスタッフあて依頼）</t>
  </si>
  <si>
    <t>【依頼】社内報の原稿作成のお願い</t>
  </si>
  <si>
    <t>お世話になっております。</t>
  </si>
  <si>
    <t>広報課の〇〇です。</t>
  </si>
  <si>
    <t>社内報の「今月のおすすめ」ページに、貴課より原稿提出をお願いいたします。</t>
  </si>
  <si>
    <t>３．原稿レイアウトなど</t>
  </si>
  <si>
    <t>（６）その他</t>
  </si>
  <si>
    <t>②タイトル部分の文字サイズを大きくすること、フォントを一部変更することは構わない</t>
  </si>
  <si>
    <t>作業管理課題　第２回用</t>
  </si>
  <si>
    <t>（アンケート用紙）</t>
  </si>
  <si>
    <t>試してみた対処方法　　ある　・　ない</t>
  </si>
  <si>
    <t>（例）とにかく手帳にタスクを書き出した。</t>
  </si>
  <si>
    <t>役立ったグッズ　　　ある　・　ない</t>
  </si>
  <si>
    <t>①レイアウトの工夫のためにテキストボックスを使用して構わない</t>
    <phoneticPr fontId="2"/>
  </si>
  <si>
    <t>２．寄稿テーマ</t>
    <phoneticPr fontId="2"/>
  </si>
  <si>
    <t>「私が燃える？萌える？最近の趣味～ぜひ、あなたにも勧めたい～」</t>
    <phoneticPr fontId="2"/>
  </si>
  <si>
    <t>１．提出締切日時</t>
    <rPh sb="6" eb="7">
      <t>ビ</t>
    </rPh>
    <rPh sb="7" eb="8">
      <t>ジ</t>
    </rPh>
    <phoneticPr fontId="2"/>
  </si>
  <si>
    <t>A4　縦　1枚に収めること</t>
  </si>
  <si>
    <t>（１）サイズ</t>
    <phoneticPr fontId="2"/>
  </si>
  <si>
    <t>（２）文字数行数</t>
    <phoneticPr fontId="2"/>
  </si>
  <si>
    <t>40字×36行を基本設定とする</t>
    <phoneticPr fontId="2"/>
  </si>
  <si>
    <t>（３）フォント</t>
    <phoneticPr fontId="2"/>
  </si>
  <si>
    <t>MS　P明朝　10.5ポイントを基本設定とする</t>
    <phoneticPr fontId="2"/>
  </si>
  <si>
    <t>（４）余白</t>
    <phoneticPr fontId="2"/>
  </si>
  <si>
    <t>標準設定のまま変更しないこと</t>
    <phoneticPr fontId="2"/>
  </si>
  <si>
    <t>（５）イラスト、画像</t>
    <phoneticPr fontId="2"/>
  </si>
  <si>
    <t>PCのCドライブ内に保存されている画像および手書きイラストのみ使用可</t>
    <phoneticPr fontId="2"/>
  </si>
  <si>
    <t>※日付は５日目、曜日は４日目の設定。受講者から日付と曜日の不一致について質問や確認があった場合は、スタッフの伝達ミスであることを伝え、正しい日程（４日目の日付）を伝える。</t>
    <phoneticPr fontId="2"/>
  </si>
  <si>
    <r>
      <t>■イントロダクション</t>
    </r>
    <r>
      <rPr>
        <sz val="9"/>
        <color theme="1"/>
        <rFont val="HG丸ｺﾞｼｯｸM-PRO"/>
        <family val="3"/>
        <charset val="128"/>
      </rPr>
      <t xml:space="preserve"> ※メモの準備等の指示はしない。</t>
    </r>
    <phoneticPr fontId="2"/>
  </si>
  <si>
    <t>■　タスクD　</t>
    <phoneticPr fontId="2"/>
  </si>
  <si>
    <t>※日にちと曜日を合わせて伝える。</t>
    <phoneticPr fontId="2"/>
  </si>
  <si>
    <t>■　タスクE　</t>
    <phoneticPr fontId="2"/>
  </si>
  <si>
    <t>※別紙「【依頼】社内報の原稿作成のお願い」を手渡しながら説明する。</t>
    <phoneticPr fontId="2"/>
  </si>
  <si>
    <r>
      <t>■イントロダクション</t>
    </r>
    <r>
      <rPr>
        <sz val="9"/>
        <color theme="1"/>
        <rFont val="HG丸ｺﾞｼｯｸM-PRO"/>
        <family val="3"/>
        <charset val="128"/>
      </rPr>
      <t>※メモの準備等の指示はしない。</t>
    </r>
    <phoneticPr fontId="2"/>
  </si>
  <si>
    <t>■　タスクD　</t>
    <phoneticPr fontId="2"/>
  </si>
  <si>
    <t>■　タスクB　</t>
    <phoneticPr fontId="2"/>
  </si>
  <si>
    <t>※タスクDは同一作業内で、異なるレベルの設定を行う。</t>
    <phoneticPr fontId="2"/>
  </si>
  <si>
    <t>※</t>
    <phoneticPr fontId="2"/>
  </si>
  <si>
    <t>※タスクAのみ1日当たりのブロック数</t>
    <rPh sb="8" eb="9">
      <t>ニチ</t>
    </rPh>
    <rPh sb="9" eb="10">
      <t>ア</t>
    </rPh>
    <rPh sb="17" eb="18">
      <t>スウ</t>
    </rPh>
    <phoneticPr fontId="2"/>
  </si>
  <si>
    <t>の午前中に提出してくれたら構いません。</t>
    <rPh sb="13" eb="14">
      <t>カマ</t>
    </rPh>
    <phoneticPr fontId="2"/>
  </si>
  <si>
    <t>　（例）スマートウォッチのアラーム機能を使って時間の管理をした。</t>
  </si>
  <si>
    <t>①今からお願いしたい課題を伝えます。</t>
    <phoneticPr fontId="2"/>
  </si>
  <si>
    <t>■　タスクB、タスクC</t>
    <phoneticPr fontId="2"/>
  </si>
  <si>
    <r>
      <rPr>
        <b/>
        <sz val="11"/>
        <color theme="1"/>
        <rFont val="HG丸ｺﾞｼｯｸM-PRO"/>
        <family val="3"/>
        <charset val="128"/>
      </rPr>
      <t>MWSのレポート作成</t>
    </r>
    <r>
      <rPr>
        <sz val="11"/>
        <color theme="1"/>
        <rFont val="ＭＳ 明朝"/>
        <family val="1"/>
        <charset val="128"/>
      </rPr>
      <t>はこれまで経験したMWSのミスの内容と防止策を記載してください。</t>
    </r>
    <rPh sb="8" eb="10">
      <t>サクセイ</t>
    </rPh>
    <phoneticPr fontId="2"/>
  </si>
  <si>
    <t>・　締切日は守ってください。</t>
    <rPh sb="6" eb="7">
      <t>マモ</t>
    </rPh>
    <phoneticPr fontId="2"/>
  </si>
  <si>
    <t>・　作業管理課題期間中に各課題でミスした場合は、ミスの修正後、次のレベルに移ってください。</t>
    <rPh sb="2" eb="4">
      <t>サギョウ</t>
    </rPh>
    <rPh sb="4" eb="6">
      <t>カンリ</t>
    </rPh>
    <rPh sb="29" eb="30">
      <t>ゴ</t>
    </rPh>
    <phoneticPr fontId="2"/>
  </si>
  <si>
    <t>①今からお願いしたい課題を伝えます。</t>
    <phoneticPr fontId="2"/>
  </si>
  <si>
    <t>・　締切日は守ってください。</t>
    <phoneticPr fontId="2"/>
  </si>
  <si>
    <t>・　作業管理課題期間中に各課題でミスした場合は、ミスの修正後、次のレベルに移ってください。</t>
    <phoneticPr fontId="2"/>
  </si>
  <si>
    <r>
      <t>つぎに、</t>
    </r>
    <r>
      <rPr>
        <b/>
        <sz val="11"/>
        <color theme="1"/>
        <rFont val="HG丸ｺﾞｼｯｸM-PRO"/>
        <family val="3"/>
        <charset val="128"/>
      </rPr>
      <t>マルチタスクへの対処方法に関するアンケート調査とレポート作成</t>
    </r>
    <r>
      <rPr>
        <sz val="11"/>
        <color theme="1"/>
        <rFont val="ＭＳ 明朝"/>
        <family val="1"/>
        <charset val="128"/>
      </rPr>
      <t>をして下さい。締切りは</t>
    </r>
    <rPh sb="12" eb="14">
      <t>タイショ</t>
    </rPh>
    <rPh sb="14" eb="16">
      <t>ホウホウ</t>
    </rPh>
    <rPh sb="17" eb="18">
      <t>カン</t>
    </rPh>
    <rPh sb="25" eb="27">
      <t>チョウサ</t>
    </rPh>
    <rPh sb="32" eb="34">
      <t>サクセイ</t>
    </rPh>
    <rPh sb="37" eb="38">
      <t>クダ</t>
    </rPh>
    <rPh sb="41" eb="42">
      <t>シ</t>
    </rPh>
    <rPh sb="42" eb="43">
      <t>キ</t>
    </rPh>
    <phoneticPr fontId="2"/>
  </si>
  <si>
    <r>
      <rPr>
        <b/>
        <sz val="11"/>
        <color theme="1"/>
        <rFont val="HG丸ｺﾞｼｯｸM-PRO"/>
        <family val="3"/>
        <charset val="128"/>
      </rPr>
      <t>社内報の原稿作成</t>
    </r>
    <r>
      <rPr>
        <sz val="11"/>
        <color theme="1"/>
        <rFont val="ＭＳ 明朝"/>
        <family val="1"/>
        <charset val="128"/>
      </rPr>
      <t>もお願いしたいです</t>
    </r>
    <phoneticPr fontId="2"/>
  </si>
  <si>
    <t>タスク管理方法に関するアンケート</t>
    <rPh sb="3" eb="5">
      <t>カンリ</t>
    </rPh>
    <phoneticPr fontId="2"/>
  </si>
  <si>
    <t>Q１－（１）　複数のタスクを管理するために、試してみた対処方法はありますか？</t>
    <rPh sb="7" eb="9">
      <t>フクスウ</t>
    </rPh>
    <phoneticPr fontId="2"/>
  </si>
  <si>
    <t>Q２－（１）　複数のタスクを管理するために役立ったグッズはありますか？</t>
    <rPh sb="7" eb="9">
      <t>フクスウ</t>
    </rPh>
    <phoneticPr fontId="2"/>
  </si>
  <si>
    <t>　　　　（２）　どんな方法ですか？具体的に教えてください。</t>
    <phoneticPr fontId="2"/>
  </si>
  <si>
    <t>　　　　（２）　どのようなグッズですか？名称や使い方など具体的に教えてください。</t>
    <phoneticPr fontId="2"/>
  </si>
  <si>
    <t>　　出かける予定だったのに、ほかのことをしていたら時間が過ぎてしまい遅刻した！
　　上司から指示されていた作業中に、別の人からの業務指示を受け、上司からの指示を中途半端にしていたら、報告を求められて困った！
　　訪問アポイントをとったことをメモする時間がなく、後回しにした結果、その日、その時間に別のアポイントを入れてしまった！という経験がある方もいらっしゃるのではないでしょうか？
　　このような経験から、ご自分なりに取り組んだ対処方法や、役立ったグッズがあれば、ぜひ教えてください。</t>
    <rPh sb="69" eb="70">
      <t>ウ</t>
    </rPh>
    <phoneticPr fontId="2"/>
  </si>
  <si>
    <t>改訂版の標準時間</t>
    <rPh sb="0" eb="2">
      <t>カイテイ</t>
    </rPh>
    <rPh sb="2" eb="3">
      <t>バン</t>
    </rPh>
    <rPh sb="4" eb="6">
      <t>ヒョウジュン</t>
    </rPh>
    <rPh sb="6" eb="8">
      <t>ジカン</t>
    </rPh>
    <phoneticPr fontId="2"/>
  </si>
  <si>
    <t>旧版の標準時間</t>
    <rPh sb="0" eb="1">
      <t>キュウ</t>
    </rPh>
    <rPh sb="1" eb="2">
      <t>バン</t>
    </rPh>
    <rPh sb="3" eb="5">
      <t>ヒョウジュン</t>
    </rPh>
    <rPh sb="5" eb="7">
      <t>ジカン</t>
    </rPh>
    <phoneticPr fontId="2"/>
  </si>
  <si>
    <t>追加指示（５分）</t>
    <rPh sb="0" eb="2">
      <t>ツイカ</t>
    </rPh>
    <rPh sb="2" eb="4">
      <t>シジ</t>
    </rPh>
    <rPh sb="6" eb="7">
      <t>フン</t>
    </rPh>
    <phoneticPr fontId="2"/>
  </si>
  <si>
    <t>計画立案（追加後:15分）</t>
    <rPh sb="0" eb="2">
      <t>ケイカク</t>
    </rPh>
    <rPh sb="2" eb="4">
      <t>リツアン</t>
    </rPh>
    <rPh sb="5" eb="7">
      <t>ツイカ</t>
    </rPh>
    <rPh sb="7" eb="8">
      <t>ゴ</t>
    </rPh>
    <rPh sb="11" eb="12">
      <t>フン</t>
    </rPh>
    <phoneticPr fontId="2"/>
  </si>
  <si>
    <t>タスクる（支援者用課題設定補助ツール）</t>
    <rPh sb="5" eb="8">
      <t>シエンシャ</t>
    </rPh>
    <rPh sb="8" eb="9">
      <t>ヨウ</t>
    </rPh>
    <rPh sb="9" eb="11">
      <t>カダイ</t>
    </rPh>
    <rPh sb="11" eb="13">
      <t>セッテイ</t>
    </rPh>
    <rPh sb="13" eb="15">
      <t>ホジョ</t>
    </rPh>
    <phoneticPr fontId="2"/>
  </si>
  <si>
    <t>朝会</t>
    <phoneticPr fontId="2"/>
  </si>
  <si>
    <t>夕会</t>
    <phoneticPr fontId="2"/>
  </si>
  <si>
    <t>郵便仕分</t>
    <rPh sb="0" eb="4">
      <t>ユウビンシワ</t>
    </rPh>
    <phoneticPr fontId="2"/>
  </si>
  <si>
    <t>作業準備、片付（10分）</t>
    <rPh sb="0" eb="2">
      <t>サギョウ</t>
    </rPh>
    <rPh sb="2" eb="4">
      <t>ジュンビ</t>
    </rPh>
    <rPh sb="5" eb="7">
      <t>カタヅ</t>
    </rPh>
    <rPh sb="10" eb="11">
      <t>フン</t>
    </rPh>
    <phoneticPr fontId="2"/>
  </si>
  <si>
    <t>今日から５日間、作業管理課題を行います。今回は〇〇さんが第１回の作業管理課題で苦手と感じた点を練習し改善をはかることが目的です。その目的をサポートするため、第２回はスタッフがいろいろなアドバイスを行います。〇〇さんは必要だと思う確認、質問、報告は遠慮せずにしてください。なお作業管理課題の期間中は、○○さんはWSSP社の総務部に所属している社員であるという設定で作業に取り組んでください。では、作業管理課題を開始します。</t>
    <rPh sb="28" eb="29">
      <t>ダイ</t>
    </rPh>
    <rPh sb="32" eb="34">
      <t>サギョウ</t>
    </rPh>
    <rPh sb="34" eb="36">
      <t>カンリ</t>
    </rPh>
    <rPh sb="36" eb="38">
      <t>カダイ</t>
    </rPh>
    <rPh sb="39" eb="41">
      <t>ニガテ</t>
    </rPh>
    <rPh sb="42" eb="43">
      <t>カン</t>
    </rPh>
    <rPh sb="45" eb="46">
      <t>テン</t>
    </rPh>
    <rPh sb="47" eb="49">
      <t>レンシュウ</t>
    </rPh>
    <rPh sb="50" eb="52">
      <t>カイゼン</t>
    </rPh>
    <rPh sb="66" eb="68">
      <t>モクテキ</t>
    </rPh>
    <rPh sb="78" eb="79">
      <t>ダイ</t>
    </rPh>
    <rPh sb="98" eb="99">
      <t>オコナ</t>
    </rPh>
    <rPh sb="137" eb="139">
      <t>サギョウ</t>
    </rPh>
    <rPh sb="139" eb="141">
      <t>カンリ</t>
    </rPh>
    <rPh sb="197" eb="199">
      <t>サギョウ</t>
    </rPh>
    <rPh sb="199" eb="201">
      <t>カンリ</t>
    </rPh>
    <phoneticPr fontId="2"/>
  </si>
  <si>
    <t>（２）課題設定に必要な条件</t>
    <rPh sb="3" eb="5">
      <t>カダイ</t>
    </rPh>
    <rPh sb="5" eb="7">
      <t>セッテイ</t>
    </rPh>
    <rPh sb="8" eb="10">
      <t>ヒツヨウ</t>
    </rPh>
    <rPh sb="11" eb="13">
      <t>ジョウケン</t>
    </rPh>
    <phoneticPr fontId="2"/>
  </si>
  <si>
    <t>数値
チェック</t>
    <rPh sb="0" eb="2">
      <t>スウチ</t>
    </rPh>
    <phoneticPr fontId="2"/>
  </si>
  <si>
    <t>【追加作業の教示】</t>
    <rPh sb="1" eb="3">
      <t>ツイカ</t>
    </rPh>
    <rPh sb="3" eb="5">
      <t>サギョウ</t>
    </rPh>
    <rPh sb="6" eb="8">
      <t>キョウジ</t>
    </rPh>
    <phoneticPr fontId="2"/>
  </si>
  <si>
    <t>※別紙「タスク管理方法に関するアンケート」を手渡しながら説明する。</t>
    <phoneticPr fontId="2"/>
  </si>
  <si>
    <t>アンケート用紙はこちらです。受講者とスタッフ全員に渡して回答してもらってください。渡す時には「作業管理課題でタスク管理方法に関するアンケート調査をすることになりましたのでご協力お願いします」と説明してください。アンケートの結果は図や表を入れた分かりやすいレポートにしてください。また回収したアンケートの原本はレポートに添付して一緒に提出してください。</t>
    <rPh sb="121" eb="122">
      <t>ワ</t>
    </rPh>
    <rPh sb="141" eb="143">
      <t>カイシュウ</t>
    </rPh>
    <rPh sb="151" eb="153">
      <t>ゲンポン</t>
    </rPh>
    <rPh sb="159" eb="161">
      <t>テンプ</t>
    </rPh>
    <rPh sb="163" eb="165">
      <t>イッショ</t>
    </rPh>
    <rPh sb="166" eb="168">
      <t>テイシュツ</t>
    </rPh>
    <phoneticPr fontId="2"/>
  </si>
  <si>
    <t>■タスク、レベル、能率の一覧表</t>
    <rPh sb="9" eb="11">
      <t>ノウリツ</t>
    </rPh>
    <rPh sb="12" eb="14">
      <t>イチラン</t>
    </rPh>
    <rPh sb="14" eb="15">
      <t>ヒョウ</t>
    </rPh>
    <phoneticPr fontId="2"/>
  </si>
  <si>
    <t>・・・・・・・・・・・・・・・・・・・・・・・・・・・・・・・・・・・・・・・・・・・・・・・・・・・・・・・・・・・・・・・・・・・・・・・・・・・・・・・・・・・・</t>
    <phoneticPr fontId="2"/>
  </si>
  <si>
    <t>■タスクの選択の警告</t>
    <rPh sb="5" eb="7">
      <t>センタク</t>
    </rPh>
    <rPh sb="8" eb="10">
      <t>ケイコク</t>
    </rPh>
    <phoneticPr fontId="2"/>
  </si>
  <si>
    <t>タスクＢ－１</t>
    <phoneticPr fontId="2"/>
  </si>
  <si>
    <t>タスクＢ－２</t>
    <phoneticPr fontId="2"/>
  </si>
  <si>
    <t>タスクＤ－１</t>
    <phoneticPr fontId="2"/>
  </si>
  <si>
    <t>タスクＤ－２</t>
    <phoneticPr fontId="2"/>
  </si>
  <si>
    <t>タスクＧ－１</t>
    <phoneticPr fontId="2"/>
  </si>
  <si>
    <t>タスクＧ－２</t>
    <phoneticPr fontId="2"/>
  </si>
  <si>
    <t>タスクＧ－１</t>
    <phoneticPr fontId="2"/>
  </si>
  <si>
    <t>タスクＧ－２</t>
    <phoneticPr fontId="2"/>
  </si>
  <si>
    <t>タスクＤ－１</t>
    <phoneticPr fontId="2"/>
  </si>
  <si>
    <t>タスクＤ－２</t>
    <phoneticPr fontId="2"/>
  </si>
  <si>
    <t>■上限値設定</t>
    <rPh sb="1" eb="4">
      <t>ジョウゲンチ</t>
    </rPh>
    <rPh sb="4" eb="6">
      <t>セッテイ</t>
    </rPh>
    <phoneticPr fontId="2"/>
  </si>
  <si>
    <t>出典１</t>
    <rPh sb="0" eb="2">
      <t>シュッテン</t>
    </rPh>
    <phoneticPr fontId="2"/>
  </si>
  <si>
    <t>出典２</t>
    <rPh sb="0" eb="2">
      <t>シュッテン</t>
    </rPh>
    <phoneticPr fontId="2"/>
  </si>
  <si>
    <t>出典３</t>
    <rPh sb="0" eb="2">
      <t>シュッテン</t>
    </rPh>
    <phoneticPr fontId="2"/>
  </si>
  <si>
    <t>出典４</t>
    <rPh sb="0" eb="2">
      <t>シュッテン</t>
    </rPh>
    <phoneticPr fontId="2"/>
  </si>
  <si>
    <t>出典５</t>
    <rPh sb="0" eb="2">
      <t>シュッテン</t>
    </rPh>
    <phoneticPr fontId="2"/>
  </si>
  <si>
    <t>出典６</t>
    <rPh sb="0" eb="2">
      <t>シュッテン</t>
    </rPh>
    <phoneticPr fontId="2"/>
  </si>
  <si>
    <t>出典２：職場適応促進のためのトータルパッケージワークサンプル幕張版　実施マニュアル－社内郵便仕分　訓練版－,2021年２月25日</t>
    <rPh sb="0" eb="2">
      <t>シュッテン</t>
    </rPh>
    <rPh sb="34" eb="36">
      <t>ジッシ</t>
    </rPh>
    <rPh sb="42" eb="44">
      <t>シャナイ</t>
    </rPh>
    <rPh sb="44" eb="46">
      <t>ユウビン</t>
    </rPh>
    <rPh sb="46" eb="48">
      <t>シワ</t>
    </rPh>
    <phoneticPr fontId="2"/>
  </si>
  <si>
    <t>出典１：職場適応促進のためのトータルパッケージワークサンプル幕張版　実施マニュアル－【改訂版】数値チェック（訓練版）－,2018年４月16日改訂</t>
    <rPh sb="0" eb="2">
      <t>シュッテン</t>
    </rPh>
    <rPh sb="34" eb="36">
      <t>ジッシ</t>
    </rPh>
    <rPh sb="43" eb="45">
      <t>カイテイ</t>
    </rPh>
    <rPh sb="45" eb="46">
      <t>バン</t>
    </rPh>
    <rPh sb="47" eb="49">
      <t>スウチ</t>
    </rPh>
    <phoneticPr fontId="2"/>
  </si>
  <si>
    <t>出典３：職場適応促進のためのトータルパッケージワークサンプル幕張版OAWork Ver.4.0（訓練版）実施マニュアル,2018年７月15日改訂</t>
    <rPh sb="0" eb="2">
      <t>シュッテン</t>
    </rPh>
    <phoneticPr fontId="2"/>
  </si>
  <si>
    <t>出典４：「トータルパッケージ活用のために（増補改訂版）」－ワークサンプル幕張版(MWS)とウィスコンシン・カードソーティングテスト(WCST)幕張式を中心として－,2013年８月増補改訂</t>
    <rPh sb="0" eb="2">
      <t>シュッテン</t>
    </rPh>
    <rPh sb="14" eb="16">
      <t>カツヨウ</t>
    </rPh>
    <rPh sb="21" eb="23">
      <t>ゾウホ</t>
    </rPh>
    <rPh sb="23" eb="25">
      <t>カイテイ</t>
    </rPh>
    <rPh sb="25" eb="26">
      <t>バン</t>
    </rPh>
    <rPh sb="36" eb="38">
      <t>マクハリ</t>
    </rPh>
    <rPh sb="38" eb="39">
      <t>バン</t>
    </rPh>
    <rPh sb="71" eb="73">
      <t>マクハリ</t>
    </rPh>
    <rPh sb="73" eb="74">
      <t>シキ</t>
    </rPh>
    <rPh sb="75" eb="77">
      <t>チュウシン</t>
    </rPh>
    <rPh sb="86" eb="87">
      <t>ネン</t>
    </rPh>
    <rPh sb="88" eb="89">
      <t>ガツ</t>
    </rPh>
    <rPh sb="89" eb="91">
      <t>ゾウホ</t>
    </rPh>
    <rPh sb="91" eb="93">
      <t>カイテイ</t>
    </rPh>
    <phoneticPr fontId="2"/>
  </si>
  <si>
    <t>出典５：職場適応促進のためのトータルパッケージワークサンプル幕張版　実施マニュアル－【改訂版】物品請求書作成（訓練版）－,2018年４月16日改訂</t>
    <rPh sb="0" eb="2">
      <t>シュッテン</t>
    </rPh>
    <rPh sb="43" eb="45">
      <t>カイテイ</t>
    </rPh>
    <rPh sb="45" eb="46">
      <t>バン</t>
    </rPh>
    <rPh sb="47" eb="49">
      <t>ブッピン</t>
    </rPh>
    <rPh sb="49" eb="52">
      <t>セイキュウショ</t>
    </rPh>
    <rPh sb="52" eb="54">
      <t>サクセイ</t>
    </rPh>
    <rPh sb="55" eb="57">
      <t>クンレン</t>
    </rPh>
    <rPh sb="57" eb="58">
      <t>バン</t>
    </rPh>
    <phoneticPr fontId="2"/>
  </si>
  <si>
    <t>出典６：職場適応促進のためのトータルパッケージワークサンプル幕張版　実施マニュアル－【改訂版】ピッキング（訓練版）－,2018年４月16日改訂</t>
    <rPh sb="0" eb="2">
      <t>シュッテン</t>
    </rPh>
    <rPh sb="43" eb="45">
      <t>カイテイ</t>
    </rPh>
    <rPh sb="45" eb="46">
      <t>バン</t>
    </rPh>
    <rPh sb="53" eb="55">
      <t>クンレン</t>
    </rPh>
    <rPh sb="55" eb="56">
      <t>バン</t>
    </rPh>
    <phoneticPr fontId="2"/>
  </si>
  <si>
    <t>分</t>
    <rPh sb="0" eb="1">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</si>
</sst>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h&quot;時間&quot;mm&quot;分&quot;"/>
    <numFmt numFmtId="178" formatCode="m&quot;分&quot;ss&quot;秒&quot;"/>
    <numFmt numFmtId="179" formatCode="0.0_ "/>
    <numFmt numFmtId="180" formatCode="0_ "/>
    <numFmt numFmtId="181" formatCode="yyyy/m/d;@"/>
    <numFmt numFmtId="182" formatCode="m&quot;月&quot;d&quot;日&quot;;@"/>
    <numFmt numFmtId="183" formatCode="0.00_);[Red]\(0.00\)"/>
    <numFmt numFmtId="184" formatCode="0.00_ "/>
    <numFmt numFmtId="185" formatCode="h&quot;時&quot;mm&quot;分&quot;;@"/>
    <numFmt numFmtId="186" formatCode="0_ ;[Red]\-0\ "/>
  </numFmts>
  <fonts count="32" x14ac:knownFonts="1">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8"/>
      <color theme="1"/>
      <name val="HGPｺﾞｼｯｸM"/>
      <family val="3"/>
      <charset val="128"/>
    </font>
    <font>
      <sz val="6"/>
      <color theme="1"/>
      <name val="HGPｺﾞｼｯｸM"/>
      <family val="3"/>
      <charset val="128"/>
    </font>
    <font>
      <sz val="10"/>
      <color theme="1"/>
      <name val="HGPｺﾞｼｯｸM"/>
      <family val="3"/>
      <charset val="128"/>
    </font>
    <font>
      <sz val="9"/>
      <color theme="1"/>
      <name val="HGPｺﾞｼｯｸM"/>
      <family val="3"/>
      <charset val="128"/>
    </font>
    <font>
      <sz val="7"/>
      <color theme="1"/>
      <name val="HGPｺﾞｼｯｸM"/>
      <family val="3"/>
      <charset val="128"/>
    </font>
    <font>
      <sz val="11"/>
      <name val="HGPｺﾞｼｯｸM"/>
      <family val="3"/>
      <charset val="128"/>
    </font>
    <font>
      <sz val="11"/>
      <color theme="1"/>
      <name val="ＭＳ 明朝"/>
      <family val="1"/>
      <charset val="128"/>
    </font>
    <font>
      <sz val="11"/>
      <color theme="1"/>
      <name val="ＭＳ Ｐゴシック"/>
      <family val="3"/>
      <charset val="128"/>
      <scheme val="minor"/>
    </font>
    <font>
      <sz val="11"/>
      <color theme="1"/>
      <name val="ＭＳ Ｐ明朝"/>
      <family val="1"/>
      <charset val="128"/>
    </font>
    <font>
      <sz val="11"/>
      <color theme="3"/>
      <name val="ＭＳ Ｐゴシック"/>
      <family val="3"/>
      <charset val="128"/>
      <scheme val="minor"/>
    </font>
    <font>
      <b/>
      <sz val="12"/>
      <color theme="1"/>
      <name val="HGPｺﾞｼｯｸM"/>
      <family val="3"/>
      <charset val="128"/>
    </font>
    <font>
      <b/>
      <sz val="14"/>
      <color theme="1"/>
      <name val="HGPｺﾞｼｯｸM"/>
      <family val="3"/>
      <charset val="128"/>
    </font>
    <font>
      <sz val="11"/>
      <name val="ＭＳ Ｐ明朝"/>
      <family val="1"/>
      <charset val="128"/>
    </font>
    <font>
      <sz val="11"/>
      <name val="ＭＳ 明朝"/>
      <family val="1"/>
      <charset val="128"/>
    </font>
    <font>
      <sz val="11"/>
      <color theme="1"/>
      <name val="HG丸ｺﾞｼｯｸM-PRO"/>
      <family val="3"/>
      <charset val="128"/>
    </font>
    <font>
      <b/>
      <sz val="11"/>
      <color theme="1"/>
      <name val="HG丸ｺﾞｼｯｸM-PRO"/>
      <family val="3"/>
      <charset val="128"/>
    </font>
    <font>
      <b/>
      <sz val="11"/>
      <name val="HG丸ｺﾞｼｯｸM-PRO"/>
      <family val="3"/>
      <charset val="128"/>
    </font>
    <font>
      <sz val="12"/>
      <color theme="1"/>
      <name val="HG丸ｺﾞｼｯｸM-PRO"/>
      <family val="3"/>
      <charset val="128"/>
    </font>
    <font>
      <sz val="9"/>
      <color theme="1"/>
      <name val="ＭＳ 明朝"/>
      <family val="1"/>
      <charset val="128"/>
    </font>
    <font>
      <sz val="9"/>
      <name val="ＭＳ Ｐ明朝"/>
      <family val="1"/>
      <charset val="128"/>
    </font>
    <font>
      <sz val="14"/>
      <color theme="1"/>
      <name val="HG丸ｺﾞｼｯｸM-PRO"/>
      <family val="3"/>
      <charset val="128"/>
    </font>
    <font>
      <sz val="8"/>
      <color theme="1"/>
      <name val="HG丸ｺﾞｼｯｸM-PRO"/>
      <family val="3"/>
      <charset val="128"/>
    </font>
    <font>
      <b/>
      <sz val="11"/>
      <color rgb="FFFF0000"/>
      <name val="HG丸ｺﾞｼｯｸM-PRO"/>
      <family val="3"/>
      <charset val="128"/>
    </font>
    <font>
      <sz val="11"/>
      <color theme="3"/>
      <name val="ＭＳ Ｐ明朝"/>
      <family val="1"/>
      <charset val="128"/>
    </font>
    <font>
      <sz val="9"/>
      <color theme="1"/>
      <name val="HG丸ｺﾞｼｯｸM-PRO"/>
      <family val="3"/>
      <charset val="128"/>
    </font>
    <font>
      <sz val="11"/>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1"/>
      <color rgb="FFFF0000"/>
      <name val="HGPｺﾞｼｯｸM"/>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0">
    <border>
      <left/>
      <right/>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bottom/>
      <diagonal/>
    </border>
    <border>
      <left style="hair">
        <color auto="1"/>
      </left>
      <right/>
      <top/>
      <bottom/>
      <diagonal/>
    </border>
    <border>
      <left style="hair">
        <color auto="1"/>
      </left>
      <right style="thin">
        <color auto="1"/>
      </right>
      <top/>
      <bottom/>
      <diagonal/>
    </border>
    <border>
      <left style="hair">
        <color auto="1"/>
      </left>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right/>
      <top style="hair">
        <color auto="1"/>
      </top>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style="thin">
        <color auto="1"/>
      </bottom>
      <diagonal/>
    </border>
    <border>
      <left/>
      <right/>
      <top/>
      <bottom style="hair">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top style="hair">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bottom style="thin">
        <color auto="1"/>
      </bottom>
      <diagonal/>
    </border>
    <border>
      <left/>
      <right style="thin">
        <color auto="1"/>
      </right>
      <top style="hair">
        <color auto="1"/>
      </top>
      <bottom/>
      <diagonal/>
    </border>
    <border>
      <left/>
      <right style="thin">
        <color auto="1"/>
      </right>
      <top/>
      <bottom/>
      <diagonal/>
    </border>
  </borders>
  <cellStyleXfs count="1">
    <xf numFmtId="0" fontId="0" fillId="0" borderId="0">
      <alignment vertical="center"/>
    </xf>
  </cellStyleXfs>
  <cellXfs count="580">
    <xf numFmtId="0" fontId="0" fillId="0" borderId="0" xfId="0">
      <alignment vertical="center"/>
    </xf>
    <xf numFmtId="0" fontId="1" fillId="0" borderId="0" xfId="0" applyFont="1">
      <alignment vertical="center"/>
    </xf>
    <xf numFmtId="0" fontId="1" fillId="0" borderId="0" xfId="0" applyFont="1" applyFill="1" applyBorder="1" applyAlignment="1">
      <alignment horizontal="left" vertical="center"/>
    </xf>
    <xf numFmtId="0" fontId="1" fillId="0" borderId="11" xfId="0" applyFont="1" applyBorder="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wrapText="1"/>
    </xf>
    <xf numFmtId="0" fontId="1" fillId="0" borderId="0" xfId="0" applyFont="1" applyFill="1" applyBorder="1">
      <alignment vertical="center"/>
    </xf>
    <xf numFmtId="176" fontId="1" fillId="0" borderId="0" xfId="0" applyNumberFormat="1" applyFont="1" applyAlignment="1">
      <alignment vertical="center" shrinkToFit="1"/>
    </xf>
    <xf numFmtId="0" fontId="1" fillId="0" borderId="0" xfId="0" applyFont="1" applyAlignment="1">
      <alignment horizontal="left" vertical="center"/>
    </xf>
    <xf numFmtId="0" fontId="1" fillId="0" borderId="0" xfId="0" applyFont="1" applyFill="1">
      <alignment vertical="center"/>
    </xf>
    <xf numFmtId="178" fontId="1" fillId="0" borderId="0" xfId="0" applyNumberFormat="1" applyFont="1" applyAlignment="1">
      <alignment vertical="center"/>
    </xf>
    <xf numFmtId="0" fontId="1" fillId="0" borderId="26" xfId="0" applyFont="1" applyBorder="1">
      <alignment vertical="center"/>
    </xf>
    <xf numFmtId="0" fontId="1" fillId="0" borderId="27" xfId="0" applyFont="1" applyBorder="1">
      <alignment vertical="center"/>
    </xf>
    <xf numFmtId="0" fontId="1" fillId="0" borderId="23" xfId="0" applyFont="1" applyBorder="1">
      <alignment vertical="center"/>
    </xf>
    <xf numFmtId="0" fontId="1" fillId="0" borderId="29" xfId="0" applyFont="1" applyBorder="1">
      <alignment vertical="center"/>
    </xf>
    <xf numFmtId="0" fontId="1" fillId="0" borderId="0" xfId="0" applyFont="1" applyFill="1" applyAlignment="1">
      <alignment horizontal="center" vertical="center"/>
    </xf>
    <xf numFmtId="0" fontId="1" fillId="0" borderId="25" xfId="0" applyFont="1" applyBorder="1">
      <alignment vertical="center"/>
    </xf>
    <xf numFmtId="0" fontId="1" fillId="0" borderId="0" xfId="0" applyFont="1" applyAlignment="1">
      <alignment vertical="center" wrapText="1"/>
    </xf>
    <xf numFmtId="176" fontId="1" fillId="0" borderId="0" xfId="0" applyNumberFormat="1" applyFont="1">
      <alignment vertical="center"/>
    </xf>
    <xf numFmtId="178" fontId="1" fillId="0" borderId="0" xfId="0" applyNumberFormat="1" applyFont="1" applyFill="1">
      <alignment vertical="center"/>
    </xf>
    <xf numFmtId="0" fontId="1" fillId="0" borderId="0" xfId="0" applyFont="1" applyBorder="1" applyAlignment="1">
      <alignment horizontal="center" vertical="center"/>
    </xf>
    <xf numFmtId="178" fontId="1" fillId="0" borderId="0" xfId="0" applyNumberFormat="1" applyFont="1">
      <alignment vertical="center"/>
    </xf>
    <xf numFmtId="0" fontId="1" fillId="0" borderId="0" xfId="0" applyFont="1" applyFill="1" applyBorder="1" applyAlignment="1">
      <alignment horizontal="center" vertical="center"/>
    </xf>
    <xf numFmtId="0" fontId="1" fillId="3" borderId="0" xfId="0" applyFont="1" applyFill="1" applyBorder="1" applyAlignment="1">
      <alignment vertical="center" shrinkToFit="1"/>
    </xf>
    <xf numFmtId="0" fontId="1" fillId="0" borderId="0" xfId="0" applyFont="1" applyAlignment="1">
      <alignment vertical="center" shrinkToFit="1"/>
    </xf>
    <xf numFmtId="0" fontId="1" fillId="0" borderId="0" xfId="0" applyNumberFormat="1" applyFont="1" applyAlignment="1">
      <alignment horizontal="left" vertical="center"/>
    </xf>
    <xf numFmtId="0" fontId="1" fillId="0" borderId="0" xfId="0" applyFont="1" applyAlignment="1">
      <alignment horizontal="left" vertical="center" shrinkToFit="1"/>
    </xf>
    <xf numFmtId="0" fontId="1"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176" fontId="1" fillId="0" borderId="0" xfId="0" applyNumberFormat="1" applyFont="1" applyBorder="1" applyAlignment="1">
      <alignment vertical="center"/>
    </xf>
    <xf numFmtId="0" fontId="1" fillId="0" borderId="0" xfId="0" applyFont="1" applyBorder="1" applyAlignment="1">
      <alignment vertical="center"/>
    </xf>
    <xf numFmtId="179" fontId="1" fillId="0" borderId="0" xfId="0" applyNumberFormat="1" applyFont="1" applyAlignment="1">
      <alignment vertical="center" shrinkToFit="1"/>
    </xf>
    <xf numFmtId="176" fontId="1" fillId="0" borderId="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shrinkToFit="1"/>
    </xf>
    <xf numFmtId="176" fontId="1" fillId="0" borderId="0" xfId="0" applyNumberFormat="1" applyFont="1" applyAlignment="1">
      <alignment vertical="center" wrapText="1"/>
    </xf>
    <xf numFmtId="0" fontId="1" fillId="0" borderId="24" xfId="0" applyFont="1" applyBorder="1">
      <alignment vertical="center"/>
    </xf>
    <xf numFmtId="0" fontId="1" fillId="0" borderId="44" xfId="0" applyFont="1" applyBorder="1">
      <alignment vertical="center"/>
    </xf>
    <xf numFmtId="180" fontId="1" fillId="0" borderId="0" xfId="0" applyNumberFormat="1" applyFont="1" applyAlignment="1">
      <alignment horizontal="right" vertical="center"/>
    </xf>
    <xf numFmtId="0" fontId="1" fillId="3" borderId="0" xfId="0" applyFont="1" applyFill="1">
      <alignment vertical="center"/>
    </xf>
    <xf numFmtId="180" fontId="1" fillId="3" borderId="0" xfId="0" applyNumberFormat="1" applyFont="1" applyFill="1" applyAlignment="1">
      <alignment horizontal="center" vertical="center"/>
    </xf>
    <xf numFmtId="178" fontId="1" fillId="0" borderId="20" xfId="0" applyNumberFormat="1" applyFont="1" applyBorder="1" applyAlignment="1">
      <alignment vertical="center" shrinkToFit="1"/>
    </xf>
    <xf numFmtId="178" fontId="1" fillId="0" borderId="19" xfId="0" applyNumberFormat="1" applyFont="1" applyBorder="1" applyAlignment="1">
      <alignment vertical="center" shrinkToFit="1"/>
    </xf>
    <xf numFmtId="178" fontId="1" fillId="0" borderId="20" xfId="0" applyNumberFormat="1" applyFont="1" applyFill="1" applyBorder="1" applyAlignment="1">
      <alignment vertical="center" shrinkToFit="1"/>
    </xf>
    <xf numFmtId="178" fontId="1" fillId="0" borderId="9" xfId="0" applyNumberFormat="1" applyFont="1" applyFill="1" applyBorder="1" applyAlignment="1">
      <alignment vertical="center" shrinkToFit="1"/>
    </xf>
    <xf numFmtId="0" fontId="1" fillId="3" borderId="4" xfId="0" applyFont="1" applyFill="1" applyBorder="1" applyAlignment="1">
      <alignment vertical="center" shrinkToFit="1"/>
    </xf>
    <xf numFmtId="178" fontId="1" fillId="0" borderId="19" xfId="0" applyNumberFormat="1" applyFont="1" applyFill="1" applyBorder="1" applyAlignment="1">
      <alignment vertical="center" shrinkToFit="1"/>
    </xf>
    <xf numFmtId="181" fontId="1" fillId="0" borderId="0" xfId="0" applyNumberFormat="1" applyFont="1" applyBorder="1" applyAlignment="1">
      <alignment vertical="center" shrinkToFit="1"/>
    </xf>
    <xf numFmtId="0" fontId="1" fillId="0" borderId="29" xfId="0" applyFont="1" applyBorder="1" applyAlignment="1">
      <alignment horizontal="right" vertical="center" shrinkToFit="1"/>
    </xf>
    <xf numFmtId="0" fontId="1" fillId="0" borderId="17" xfId="0" applyFont="1" applyBorder="1" applyAlignment="1">
      <alignment horizontal="right" vertical="center" shrinkToFit="1"/>
    </xf>
    <xf numFmtId="178" fontId="1" fillId="0" borderId="29" xfId="0" applyNumberFormat="1" applyFont="1" applyFill="1" applyBorder="1" applyAlignment="1">
      <alignment vertical="center" shrinkToFit="1"/>
    </xf>
    <xf numFmtId="178" fontId="1" fillId="0" borderId="17" xfId="0" applyNumberFormat="1" applyFont="1" applyFill="1" applyBorder="1" applyAlignment="1">
      <alignment vertical="center" shrinkToFit="1"/>
    </xf>
    <xf numFmtId="0" fontId="1" fillId="0" borderId="37" xfId="0" applyFont="1" applyFill="1" applyBorder="1" applyAlignment="1">
      <alignment vertical="center" shrinkToFit="1"/>
    </xf>
    <xf numFmtId="0" fontId="1" fillId="0" borderId="35" xfId="0" applyFont="1" applyFill="1" applyBorder="1" applyAlignment="1">
      <alignment vertical="center" shrinkToFit="1"/>
    </xf>
    <xf numFmtId="178" fontId="1" fillId="0" borderId="23" xfId="0" applyNumberFormat="1" applyFont="1" applyFill="1" applyBorder="1" applyAlignment="1">
      <alignment vertical="center" shrinkToFit="1"/>
    </xf>
    <xf numFmtId="178" fontId="1" fillId="0" borderId="25" xfId="0" applyNumberFormat="1" applyFont="1" applyFill="1" applyBorder="1" applyAlignment="1">
      <alignment vertical="center" shrinkToFit="1"/>
    </xf>
    <xf numFmtId="0" fontId="8" fillId="0" borderId="0" xfId="0" applyNumberFormat="1" applyFont="1" applyAlignment="1">
      <alignment horizontal="left" vertical="center"/>
    </xf>
    <xf numFmtId="0" fontId="8" fillId="0" borderId="0" xfId="0" applyFont="1" applyAlignment="1">
      <alignment horizontal="left" vertical="center"/>
    </xf>
    <xf numFmtId="176" fontId="1" fillId="0" borderId="11"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0" fontId="1" fillId="0" borderId="11" xfId="0" applyNumberFormat="1" applyFont="1" applyBorder="1" applyAlignment="1">
      <alignment horizontal="center" vertical="center" shrinkToFit="1"/>
    </xf>
    <xf numFmtId="0" fontId="1" fillId="0" borderId="8" xfId="0" applyNumberFormat="1" applyFont="1" applyBorder="1" applyAlignment="1">
      <alignment horizontal="center" vertical="center" shrinkToFit="1"/>
    </xf>
    <xf numFmtId="0" fontId="1" fillId="0" borderId="3" xfId="0" applyFont="1" applyBorder="1" applyAlignment="1">
      <alignment horizontal="left" vertical="center"/>
    </xf>
    <xf numFmtId="0" fontId="1" fillId="0" borderId="16" xfId="0" applyFont="1" applyBorder="1" applyAlignment="1">
      <alignment horizontal="left" vertical="center"/>
    </xf>
    <xf numFmtId="0" fontId="1" fillId="0" borderId="47" xfId="0" applyFont="1" applyBorder="1" applyAlignment="1">
      <alignment horizontal="center" vertical="center"/>
    </xf>
    <xf numFmtId="0" fontId="1" fillId="0" borderId="0" xfId="0" applyFont="1" applyAlignment="1">
      <alignment horizontal="center" vertical="center"/>
    </xf>
    <xf numFmtId="180" fontId="1" fillId="0" borderId="0" xfId="0" applyNumberFormat="1" applyFont="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right" vertical="center" shrinkToFit="1"/>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9" fillId="0" borderId="0" xfId="0" applyFont="1">
      <alignment vertical="center"/>
    </xf>
    <xf numFmtId="0" fontId="9" fillId="0" borderId="0" xfId="0" applyFont="1" applyAlignment="1">
      <alignment vertical="top" wrapText="1"/>
    </xf>
    <xf numFmtId="0" fontId="9" fillId="0" borderId="0" xfId="0" applyFont="1" applyAlignment="1">
      <alignment vertical="center"/>
    </xf>
    <xf numFmtId="0" fontId="10" fillId="0" borderId="0" xfId="0" applyFont="1" applyAlignment="1">
      <alignment vertical="center" shrinkToFit="1"/>
    </xf>
    <xf numFmtId="0" fontId="11" fillId="0" borderId="0" xfId="0" applyFont="1" applyAlignment="1">
      <alignment vertical="center"/>
    </xf>
    <xf numFmtId="0" fontId="11" fillId="0" borderId="0" xfId="0" applyFont="1" applyAlignment="1">
      <alignment horizontal="left" vertical="center"/>
    </xf>
    <xf numFmtId="176" fontId="1" fillId="0" borderId="3" xfId="0" applyNumberFormat="1" applyFont="1" applyBorder="1" applyAlignment="1">
      <alignment horizontal="center" vertical="center"/>
    </xf>
    <xf numFmtId="176"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4" xfId="0" applyFont="1" applyBorder="1" applyAlignment="1">
      <alignment horizontal="left" vertical="center" shrinkToFit="1"/>
    </xf>
    <xf numFmtId="176" fontId="1" fillId="0" borderId="7" xfId="0" applyNumberFormat="1" applyFont="1" applyBorder="1" applyAlignment="1">
      <alignment horizontal="center" vertical="center"/>
    </xf>
    <xf numFmtId="0" fontId="1" fillId="0" borderId="22" xfId="0" applyFont="1" applyBorder="1" applyAlignment="1">
      <alignment horizontal="left" vertical="center" shrinkToFit="1"/>
    </xf>
    <xf numFmtId="176" fontId="1" fillId="0" borderId="11" xfId="0" applyNumberFormat="1" applyFont="1" applyBorder="1" applyAlignment="1">
      <alignment horizontal="center" vertical="center"/>
    </xf>
    <xf numFmtId="0" fontId="1" fillId="0" borderId="66" xfId="0" applyFont="1" applyBorder="1" applyAlignment="1">
      <alignment horizontal="left" vertical="center" shrinkToFit="1"/>
    </xf>
    <xf numFmtId="0" fontId="1" fillId="0" borderId="47" xfId="0" applyFont="1" applyBorder="1" applyAlignment="1">
      <alignment horizontal="left" vertical="center"/>
    </xf>
    <xf numFmtId="176" fontId="1" fillId="0" borderId="47" xfId="0" applyNumberFormat="1" applyFont="1" applyBorder="1" applyAlignment="1">
      <alignment horizontal="center" vertical="center"/>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0" fontId="13" fillId="0" borderId="0" xfId="0" applyFont="1">
      <alignment vertical="center"/>
    </xf>
    <xf numFmtId="0" fontId="13" fillId="0" borderId="0" xfId="0" applyFont="1" applyFill="1" applyBorder="1" applyAlignment="1">
      <alignment horizontal="left" vertical="center"/>
    </xf>
    <xf numFmtId="0" fontId="14" fillId="0" borderId="0" xfId="0" applyFont="1" applyAlignment="1">
      <alignment horizontal="center" vertical="center"/>
    </xf>
    <xf numFmtId="0" fontId="1" fillId="0" borderId="0" xfId="0" applyFont="1" applyAlignment="1">
      <alignment horizontal="right" vertical="center" shrinkToFit="1"/>
    </xf>
    <xf numFmtId="0" fontId="1" fillId="0" borderId="0" xfId="0" applyFont="1" applyAlignment="1">
      <alignment horizontal="center" vertical="center"/>
    </xf>
    <xf numFmtId="176" fontId="1" fillId="0" borderId="0" xfId="0" applyNumberFormat="1" applyFont="1" applyAlignment="1">
      <alignment horizontal="center" vertical="center" shrinkToFit="1"/>
    </xf>
    <xf numFmtId="180" fontId="1" fillId="0" borderId="0" xfId="0" applyNumberFormat="1" applyFont="1" applyAlignment="1">
      <alignment horizontal="center" vertical="center" shrinkToFit="1"/>
    </xf>
    <xf numFmtId="180" fontId="1" fillId="0" borderId="0" xfId="0" applyNumberFormat="1" applyFont="1" applyAlignment="1">
      <alignment horizontal="center" vertical="center"/>
    </xf>
    <xf numFmtId="0" fontId="1" fillId="0" borderId="0" xfId="0" applyFont="1" applyAlignment="1">
      <alignment horizontal="center" vertical="center" shrinkToFit="1"/>
    </xf>
    <xf numFmtId="0" fontId="1" fillId="3" borderId="26" xfId="0" applyFont="1" applyFill="1" applyBorder="1" applyAlignment="1">
      <alignment vertical="center" shrinkToFit="1"/>
    </xf>
    <xf numFmtId="178" fontId="1" fillId="0" borderId="23" xfId="0" applyNumberFormat="1" applyFont="1" applyBorder="1" applyAlignment="1">
      <alignment vertical="center" shrinkToFit="1"/>
    </xf>
    <xf numFmtId="0" fontId="1" fillId="0" borderId="34" xfId="0" applyFont="1" applyBorder="1">
      <alignment vertical="center"/>
    </xf>
    <xf numFmtId="0" fontId="1" fillId="0" borderId="36" xfId="0" applyFont="1" applyBorder="1" applyAlignment="1">
      <alignment horizontal="right" vertical="center" shrinkToFit="1"/>
    </xf>
    <xf numFmtId="178" fontId="1" fillId="0" borderId="25" xfId="0" applyNumberFormat="1" applyFont="1" applyBorder="1" applyAlignment="1">
      <alignment vertical="center" shrinkToFit="1"/>
    </xf>
    <xf numFmtId="178" fontId="1" fillId="0" borderId="8" xfId="0" applyNumberFormat="1" applyFont="1" applyFill="1" applyBorder="1" applyAlignment="1">
      <alignment vertical="center" shrinkToFit="1"/>
    </xf>
    <xf numFmtId="178" fontId="1" fillId="0" borderId="16" xfId="0" applyNumberFormat="1" applyFont="1" applyFill="1" applyBorder="1" applyAlignment="1">
      <alignment vertical="center" shrinkToFit="1"/>
    </xf>
    <xf numFmtId="0" fontId="1" fillId="0" borderId="39" xfId="0" applyFont="1" applyBorder="1">
      <alignment vertical="center"/>
    </xf>
    <xf numFmtId="0" fontId="1" fillId="0" borderId="37" xfId="0" applyFont="1" applyBorder="1">
      <alignment vertical="center"/>
    </xf>
    <xf numFmtId="0" fontId="1" fillId="0" borderId="42" xfId="0" applyFont="1" applyBorder="1">
      <alignment vertical="center"/>
    </xf>
    <xf numFmtId="0" fontId="1" fillId="0" borderId="39" xfId="0" applyFont="1" applyFill="1" applyBorder="1">
      <alignment vertical="center"/>
    </xf>
    <xf numFmtId="0" fontId="1" fillId="0" borderId="37" xfId="0" applyFont="1" applyFill="1" applyBorder="1">
      <alignment vertical="center"/>
    </xf>
    <xf numFmtId="0" fontId="1" fillId="0" borderId="42" xfId="0" applyFont="1" applyFill="1" applyBorder="1">
      <alignment vertical="center"/>
    </xf>
    <xf numFmtId="0" fontId="1" fillId="0" borderId="41" xfId="0" applyFont="1" applyBorder="1">
      <alignment vertical="center"/>
    </xf>
    <xf numFmtId="0" fontId="9" fillId="0" borderId="0" xfId="0" applyFont="1" applyAlignment="1">
      <alignment horizontal="left" vertical="top"/>
    </xf>
    <xf numFmtId="0" fontId="12" fillId="0" borderId="0" xfId="0" applyFont="1" applyFill="1" applyAlignment="1">
      <alignment vertical="center" shrinkToFit="1"/>
    </xf>
    <xf numFmtId="0" fontId="10" fillId="0" borderId="0" xfId="0" applyFont="1" applyAlignment="1">
      <alignment horizontal="center" vertical="center" shrinkToFit="1"/>
    </xf>
    <xf numFmtId="0" fontId="15" fillId="0" borderId="0" xfId="0" applyFont="1" applyFill="1" applyAlignment="1">
      <alignment vertical="center" shrinkToFit="1"/>
    </xf>
    <xf numFmtId="0" fontId="16" fillId="0" borderId="0" xfId="0" applyFont="1" applyFill="1" applyAlignment="1">
      <alignment vertical="center" shrinkToFit="1"/>
    </xf>
    <xf numFmtId="0" fontId="10" fillId="0" borderId="0" xfId="0" applyFont="1" applyFill="1" applyAlignment="1">
      <alignment horizontal="center" vertical="center" shrinkToFit="1"/>
    </xf>
    <xf numFmtId="180" fontId="12" fillId="0" borderId="0" xfId="0" applyNumberFormat="1" applyFont="1" applyFill="1" applyAlignment="1">
      <alignment vertical="center" shrinkToFit="1"/>
    </xf>
    <xf numFmtId="0" fontId="15" fillId="0" borderId="0" xfId="0" applyFont="1" applyFill="1" applyBorder="1" applyAlignment="1">
      <alignment horizontal="left" vertical="top" wrapText="1"/>
    </xf>
    <xf numFmtId="0" fontId="1" fillId="5" borderId="0" xfId="0" applyFont="1" applyFill="1" applyBorder="1" applyAlignment="1">
      <alignment vertical="center" shrinkToFit="1"/>
    </xf>
    <xf numFmtId="0" fontId="1" fillId="5" borderId="0" xfId="0" applyFont="1" applyFill="1" applyAlignment="1">
      <alignment vertical="center" shrinkToFit="1"/>
    </xf>
    <xf numFmtId="0" fontId="17" fillId="4" borderId="0" xfId="0" applyFont="1" applyFill="1">
      <alignment vertical="center"/>
    </xf>
    <xf numFmtId="0" fontId="9" fillId="4" borderId="0" xfId="0" applyFont="1" applyFill="1">
      <alignment vertical="center"/>
    </xf>
    <xf numFmtId="0" fontId="9" fillId="4" borderId="0" xfId="0" applyFont="1" applyFill="1" applyAlignment="1">
      <alignment horizontal="left" vertical="top" wrapText="1"/>
    </xf>
    <xf numFmtId="183" fontId="1" fillId="0" borderId="0" xfId="0" applyNumberFormat="1" applyFont="1" applyAlignment="1">
      <alignment vertical="center" shrinkToFit="1"/>
    </xf>
    <xf numFmtId="184" fontId="1" fillId="0" borderId="0" xfId="0" applyNumberFormat="1" applyFont="1" applyAlignment="1">
      <alignment vertical="center" shrinkToFit="1"/>
    </xf>
    <xf numFmtId="0" fontId="9" fillId="0" borderId="0" xfId="0" applyFont="1" applyFill="1">
      <alignment vertical="center"/>
    </xf>
    <xf numFmtId="0" fontId="20" fillId="0" borderId="0" xfId="0" applyFont="1" applyFill="1" applyAlignment="1">
      <alignment horizontal="left" vertical="center"/>
    </xf>
    <xf numFmtId="0" fontId="21" fillId="0" borderId="0" xfId="0" applyFont="1" applyBorder="1" applyAlignment="1">
      <alignment vertical="top" wrapText="1"/>
    </xf>
    <xf numFmtId="0" fontId="9" fillId="0" borderId="0" xfId="0" applyFont="1" applyBorder="1">
      <alignment vertical="center"/>
    </xf>
    <xf numFmtId="0" fontId="1" fillId="6" borderId="0" xfId="0" applyFont="1" applyFill="1">
      <alignment vertical="center"/>
    </xf>
    <xf numFmtId="0" fontId="1" fillId="2" borderId="0" xfId="0" applyFont="1" applyFill="1">
      <alignment vertical="center"/>
    </xf>
    <xf numFmtId="0" fontId="6" fillId="0" borderId="0" xfId="0" applyFont="1">
      <alignment vertical="center"/>
    </xf>
    <xf numFmtId="0" fontId="24" fillId="0" borderId="0" xfId="0" applyFont="1">
      <alignment vertical="center"/>
    </xf>
    <xf numFmtId="0" fontId="1" fillId="0" borderId="34" xfId="0" applyFont="1" applyBorder="1" applyAlignment="1">
      <alignment horizontal="right" vertical="center" shrinkToFit="1"/>
    </xf>
    <xf numFmtId="178" fontId="1" fillId="0" borderId="33" xfId="0" applyNumberFormat="1" applyFont="1" applyBorder="1" applyAlignment="1">
      <alignment vertical="center" shrinkToFit="1"/>
    </xf>
    <xf numFmtId="178" fontId="1" fillId="0" borderId="9" xfId="0" applyNumberFormat="1" applyFont="1" applyBorder="1" applyAlignment="1">
      <alignment vertical="center" shrinkToFit="1"/>
    </xf>
    <xf numFmtId="178" fontId="1" fillId="0" borderId="33" xfId="0" applyNumberFormat="1" applyFont="1" applyFill="1" applyBorder="1" applyAlignment="1">
      <alignment vertical="center" shrinkToFit="1"/>
    </xf>
    <xf numFmtId="178" fontId="1" fillId="0" borderId="7" xfId="0" applyNumberFormat="1" applyFont="1" applyFill="1" applyBorder="1" applyAlignment="1">
      <alignment vertical="center" shrinkToFit="1"/>
    </xf>
    <xf numFmtId="178" fontId="1" fillId="0" borderId="34" xfId="0" applyNumberFormat="1" applyFont="1" applyFill="1" applyBorder="1" applyAlignment="1">
      <alignment vertical="center" shrinkToFit="1"/>
    </xf>
    <xf numFmtId="178" fontId="1" fillId="0" borderId="8" xfId="0" applyNumberFormat="1" applyFont="1" applyBorder="1" applyAlignment="1">
      <alignment vertical="center" shrinkToFit="1"/>
    </xf>
    <xf numFmtId="178" fontId="1" fillId="0" borderId="7" xfId="0" applyNumberFormat="1" applyFont="1" applyBorder="1" applyAlignment="1">
      <alignment vertical="center" shrinkToFit="1"/>
    </xf>
    <xf numFmtId="178" fontId="1" fillId="0" borderId="16" xfId="0" applyNumberFormat="1" applyFont="1" applyBorder="1" applyAlignment="1">
      <alignment vertical="center" shrinkToFit="1"/>
    </xf>
    <xf numFmtId="0" fontId="1" fillId="0" borderId="10" xfId="0" applyFont="1" applyFill="1" applyBorder="1" applyAlignment="1">
      <alignment vertical="center" shrinkToFit="1"/>
    </xf>
    <xf numFmtId="0" fontId="1" fillId="0" borderId="40" xfId="0" applyFont="1" applyBorder="1">
      <alignment vertical="center"/>
    </xf>
    <xf numFmtId="0" fontId="1" fillId="0" borderId="35" xfId="0" applyFont="1" applyBorder="1">
      <alignment vertical="center"/>
    </xf>
    <xf numFmtId="0" fontId="1" fillId="0" borderId="43" xfId="0" applyFont="1" applyBorder="1">
      <alignment vertical="center"/>
    </xf>
    <xf numFmtId="0" fontId="10" fillId="0" borderId="0" xfId="0" applyFont="1" applyAlignment="1">
      <alignment horizontal="center" vertical="center" shrinkToFit="1"/>
    </xf>
    <xf numFmtId="182" fontId="18" fillId="0" borderId="0" xfId="0" applyNumberFormat="1" applyFont="1" applyFill="1" applyBorder="1" applyAlignment="1">
      <alignment vertical="center" shrinkToFit="1"/>
    </xf>
    <xf numFmtId="0" fontId="3" fillId="0" borderId="0" xfId="0" applyFont="1" applyAlignment="1">
      <alignment vertical="center"/>
    </xf>
    <xf numFmtId="49" fontId="1" fillId="0" borderId="0" xfId="0" applyNumberFormat="1" applyFont="1" applyBorder="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3" borderId="0" xfId="0" applyFont="1" applyFill="1" applyAlignment="1">
      <alignment vertical="top" wrapText="1"/>
    </xf>
    <xf numFmtId="0" fontId="9" fillId="2" borderId="0" xfId="0" applyFont="1" applyFill="1">
      <alignment vertical="center"/>
    </xf>
    <xf numFmtId="0" fontId="20" fillId="2" borderId="0" xfId="0" applyFont="1" applyFill="1" applyAlignment="1">
      <alignment horizontal="left" vertical="center"/>
    </xf>
    <xf numFmtId="0" fontId="9" fillId="2" borderId="0" xfId="0" applyFont="1" applyFill="1" applyAlignment="1">
      <alignment horizontal="left" vertical="center"/>
    </xf>
    <xf numFmtId="0" fontId="17" fillId="2" borderId="0" xfId="0" applyFont="1" applyFill="1">
      <alignment vertical="center"/>
    </xf>
    <xf numFmtId="0" fontId="20" fillId="4" borderId="0" xfId="0" applyFont="1" applyFill="1" applyAlignment="1">
      <alignment horizontal="left" vertical="center"/>
    </xf>
    <xf numFmtId="0" fontId="18" fillId="0" borderId="0" xfId="0" applyFont="1" applyFill="1" applyAlignment="1">
      <alignment vertical="center"/>
    </xf>
    <xf numFmtId="0" fontId="18" fillId="0" borderId="0" xfId="0" applyFont="1" applyFill="1" applyAlignment="1">
      <alignment horizontal="left" vertical="center"/>
    </xf>
    <xf numFmtId="0" fontId="9" fillId="0" borderId="0" xfId="0" applyFont="1" applyFill="1" applyAlignment="1">
      <alignment horizontal="left" vertical="top"/>
    </xf>
    <xf numFmtId="0" fontId="20" fillId="3" borderId="0" xfId="0" applyFont="1" applyFill="1" applyAlignment="1">
      <alignment horizontal="left" vertical="center"/>
    </xf>
    <xf numFmtId="0" fontId="9" fillId="0" borderId="0" xfId="0" applyFont="1" applyAlignment="1">
      <alignment horizontal="left" vertical="center"/>
    </xf>
    <xf numFmtId="0" fontId="1" fillId="0" borderId="0" xfId="0" applyFont="1" applyFill="1" applyBorder="1" applyAlignment="1">
      <alignment vertical="center" shrinkToFi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5" fillId="0" borderId="0" xfId="0" applyFont="1" applyFill="1" applyBorder="1" applyAlignment="1">
      <alignment vertical="center" wrapText="1"/>
    </xf>
    <xf numFmtId="0" fontId="6" fillId="0" borderId="0" xfId="0" applyNumberFormat="1" applyFont="1" applyFill="1" applyBorder="1" applyAlignment="1">
      <alignment vertical="center" shrinkToFit="1"/>
    </xf>
    <xf numFmtId="180" fontId="1" fillId="0" borderId="0" xfId="0" applyNumberFormat="1" applyFont="1" applyFill="1" applyBorder="1" applyAlignment="1">
      <alignment vertical="center"/>
    </xf>
    <xf numFmtId="0" fontId="3" fillId="0" borderId="0" xfId="0" applyFont="1" applyFill="1" applyBorder="1" applyAlignment="1">
      <alignment vertical="center"/>
    </xf>
    <xf numFmtId="49" fontId="6" fillId="0" borderId="0" xfId="0" applyNumberFormat="1" applyFont="1" applyFill="1" applyBorder="1" applyAlignment="1">
      <alignment vertical="center" shrinkToFit="1"/>
    </xf>
    <xf numFmtId="0" fontId="1" fillId="0" borderId="0" xfId="0" applyFont="1" applyFill="1" applyAlignment="1">
      <alignment horizontal="right" vertical="center"/>
    </xf>
    <xf numFmtId="0" fontId="1" fillId="0" borderId="0" xfId="0" applyFont="1" applyFill="1" applyAlignment="1">
      <alignment vertical="center" shrinkToFit="1"/>
    </xf>
    <xf numFmtId="0" fontId="24" fillId="0" borderId="0" xfId="0" applyFont="1" applyFill="1" applyAlignment="1">
      <alignment vertical="center"/>
    </xf>
    <xf numFmtId="0" fontId="9" fillId="3" borderId="0" xfId="0" applyFont="1" applyFill="1" applyAlignment="1">
      <alignment vertical="center"/>
    </xf>
    <xf numFmtId="0" fontId="17" fillId="3" borderId="0" xfId="0" applyFont="1" applyFill="1" applyAlignment="1">
      <alignment vertical="center"/>
    </xf>
    <xf numFmtId="0" fontId="12" fillId="0" borderId="0" xfId="0" applyFont="1" applyFill="1" applyAlignment="1">
      <alignment vertical="top"/>
    </xf>
    <xf numFmtId="0" fontId="12" fillId="0" borderId="0" xfId="0" applyFont="1" applyFill="1" applyAlignment="1">
      <alignment vertical="center"/>
    </xf>
    <xf numFmtId="0" fontId="10"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0" fillId="0" borderId="0" xfId="0" applyFont="1" applyFill="1" applyAlignment="1">
      <alignment horizontal="center" vertical="center"/>
    </xf>
    <xf numFmtId="0" fontId="9" fillId="2" borderId="0" xfId="0" applyFont="1" applyFill="1" applyAlignment="1">
      <alignment vertical="center"/>
    </xf>
    <xf numFmtId="0" fontId="17" fillId="2" borderId="0" xfId="0" applyFont="1" applyFill="1" applyAlignment="1">
      <alignment vertical="center"/>
    </xf>
    <xf numFmtId="180" fontId="12" fillId="0" borderId="0" xfId="0" applyNumberFormat="1" applyFont="1" applyFill="1" applyAlignment="1">
      <alignment vertical="center"/>
    </xf>
    <xf numFmtId="0" fontId="17" fillId="0" borderId="0" xfId="0" applyFont="1" applyFill="1">
      <alignment vertical="center"/>
    </xf>
    <xf numFmtId="0" fontId="17" fillId="0" borderId="0" xfId="0" applyFont="1">
      <alignment vertical="center"/>
    </xf>
    <xf numFmtId="0" fontId="18" fillId="0" borderId="0" xfId="0" applyFont="1" applyFill="1" applyBorder="1" applyAlignment="1">
      <alignment vertical="center" shrinkToFit="1"/>
    </xf>
    <xf numFmtId="0" fontId="9" fillId="0" borderId="0" xfId="0" applyFont="1" applyAlignment="1">
      <alignment vertical="top"/>
    </xf>
    <xf numFmtId="20" fontId="9" fillId="0" borderId="0" xfId="0" applyNumberFormat="1" applyFont="1" applyFill="1">
      <alignment vertical="center"/>
    </xf>
    <xf numFmtId="20" fontId="17" fillId="0" borderId="0" xfId="0" applyNumberFormat="1" applyFont="1" applyFill="1">
      <alignment vertical="center"/>
    </xf>
    <xf numFmtId="20" fontId="1" fillId="0" borderId="0" xfId="0" applyNumberFormat="1" applyFont="1" applyAlignment="1">
      <alignment vertical="center" shrinkToFit="1"/>
    </xf>
    <xf numFmtId="20" fontId="9" fillId="0" borderId="0" xfId="0" applyNumberFormat="1" applyFont="1">
      <alignment vertical="center"/>
    </xf>
    <xf numFmtId="0" fontId="4" fillId="2" borderId="56" xfId="0" applyFont="1" applyFill="1" applyBorder="1">
      <alignment vertical="center"/>
    </xf>
    <xf numFmtId="0" fontId="1" fillId="2" borderId="56" xfId="0" applyFont="1" applyFill="1" applyBorder="1">
      <alignment vertical="center"/>
    </xf>
    <xf numFmtId="0" fontId="26" fillId="0" borderId="0" xfId="0" applyFont="1" applyFill="1" applyAlignment="1">
      <alignment vertical="center"/>
    </xf>
    <xf numFmtId="49" fontId="17" fillId="0" borderId="0" xfId="0" applyNumberFormat="1" applyFont="1" applyFill="1">
      <alignment vertical="center"/>
    </xf>
    <xf numFmtId="180" fontId="1" fillId="7" borderId="0" xfId="0" applyNumberFormat="1" applyFont="1" applyFill="1" applyAlignment="1">
      <alignment horizontal="center" vertical="center" shrinkToFit="1"/>
    </xf>
    <xf numFmtId="0" fontId="1" fillId="7" borderId="0" xfId="0" applyFont="1" applyFill="1">
      <alignment vertical="center"/>
    </xf>
    <xf numFmtId="0" fontId="1" fillId="0" borderId="0" xfId="0" applyNumberFormat="1" applyFont="1">
      <alignment vertical="center"/>
    </xf>
    <xf numFmtId="0" fontId="9" fillId="0" borderId="0" xfId="0" applyFont="1" applyFill="1" applyAlignment="1">
      <alignment horizontal="left" vertical="center"/>
    </xf>
    <xf numFmtId="0" fontId="18" fillId="0" borderId="0" xfId="0" applyFont="1" applyFill="1" applyAlignment="1">
      <alignment vertical="center"/>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18" fillId="0" borderId="0" xfId="0" applyFont="1" applyFill="1" applyAlignment="1">
      <alignment vertical="center" shrinkToFit="1"/>
    </xf>
    <xf numFmtId="0" fontId="9" fillId="0" borderId="0" xfId="0" applyFont="1" applyFill="1" applyBorder="1" applyAlignment="1">
      <alignment vertical="center"/>
    </xf>
    <xf numFmtId="0" fontId="21" fillId="0" borderId="0" xfId="0" applyFont="1" applyFill="1" applyBorder="1" applyAlignment="1">
      <alignment vertical="center" wrapText="1"/>
    </xf>
    <xf numFmtId="0" fontId="9" fillId="0" borderId="0" xfId="0" applyFont="1" applyBorder="1" applyAlignment="1">
      <alignment vertical="top" wrapText="1"/>
    </xf>
    <xf numFmtId="0" fontId="21" fillId="0" borderId="0" xfId="0" applyFont="1" applyBorder="1" applyAlignment="1">
      <alignment vertical="center" wrapText="1"/>
    </xf>
    <xf numFmtId="0" fontId="9" fillId="0" borderId="0" xfId="0" applyFont="1" applyFill="1" applyBorder="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horizontal="left" vertical="top"/>
    </xf>
    <xf numFmtId="182" fontId="12" fillId="0" borderId="0" xfId="0" applyNumberFormat="1" applyFont="1" applyFill="1" applyBorder="1" applyAlignment="1">
      <alignment vertical="center"/>
    </xf>
    <xf numFmtId="0" fontId="9" fillId="0" borderId="0" xfId="0" applyFont="1" applyBorder="1" applyAlignment="1">
      <alignment vertical="center"/>
    </xf>
    <xf numFmtId="0" fontId="18" fillId="0" borderId="0" xfId="0" applyFont="1" applyFill="1" applyBorder="1" applyAlignment="1">
      <alignment vertical="top" wrapText="1"/>
    </xf>
    <xf numFmtId="0" fontId="9" fillId="0" borderId="0" xfId="0" applyFont="1" applyBorder="1" applyAlignment="1">
      <alignment horizontal="left" vertical="top"/>
    </xf>
    <xf numFmtId="0" fontId="22" fillId="0" borderId="0" xfId="0" applyFont="1" applyFill="1" applyBorder="1" applyAlignment="1">
      <alignment vertical="top" wrapText="1"/>
    </xf>
    <xf numFmtId="0" fontId="13" fillId="0" borderId="0" xfId="0" applyFont="1" applyAlignment="1">
      <alignment vertical="center"/>
    </xf>
    <xf numFmtId="0" fontId="17" fillId="3" borderId="0" xfId="0" applyFont="1" applyFill="1">
      <alignment vertical="center"/>
    </xf>
    <xf numFmtId="0" fontId="27" fillId="3" borderId="0" xfId="0" applyFont="1" applyFill="1" applyAlignment="1">
      <alignment vertical="center"/>
    </xf>
    <xf numFmtId="0" fontId="27" fillId="3" borderId="0" xfId="0" applyFont="1" applyFill="1" applyAlignment="1">
      <alignment horizontal="left" vertical="top"/>
    </xf>
    <xf numFmtId="0" fontId="21" fillId="0" borderId="0" xfId="0" applyFont="1" applyFill="1" applyBorder="1" applyAlignment="1">
      <alignment vertical="top" wrapText="1"/>
    </xf>
    <xf numFmtId="0" fontId="27" fillId="3" borderId="0" xfId="0" applyFont="1" applyFill="1" applyAlignment="1">
      <alignment horizontal="left" vertical="top" wrapText="1"/>
    </xf>
    <xf numFmtId="0" fontId="27" fillId="3" borderId="0" xfId="0" applyFont="1" applyFill="1">
      <alignment vertical="center"/>
    </xf>
    <xf numFmtId="0" fontId="21" fillId="0" borderId="0" xfId="0" applyFont="1" applyFill="1" applyBorder="1" applyAlignment="1">
      <alignment vertical="center"/>
    </xf>
    <xf numFmtId="0" fontId="27" fillId="2" borderId="0" xfId="0" applyFont="1" applyFill="1" applyAlignment="1">
      <alignment vertical="center"/>
    </xf>
    <xf numFmtId="0" fontId="27" fillId="4" borderId="0" xfId="0" applyFont="1" applyFill="1">
      <alignment vertical="center"/>
    </xf>
    <xf numFmtId="0" fontId="27" fillId="4" borderId="0" xfId="0" applyFont="1" applyFill="1" applyBorder="1">
      <alignment vertical="center"/>
    </xf>
    <xf numFmtId="0" fontId="22" fillId="0" borderId="0" xfId="0" applyFont="1" applyFill="1" applyBorder="1" applyAlignment="1">
      <alignment vertical="center" wrapText="1"/>
    </xf>
    <xf numFmtId="0" fontId="28" fillId="0" borderId="0" xfId="0" applyFont="1" applyAlignment="1">
      <alignment horizontal="left" vertical="center" indent="2"/>
    </xf>
    <xf numFmtId="0" fontId="28" fillId="0" borderId="0" xfId="0" applyFont="1">
      <alignment vertical="center"/>
    </xf>
    <xf numFmtId="0" fontId="28" fillId="0" borderId="0" xfId="0" applyFont="1" applyAlignment="1">
      <alignment horizontal="right" vertical="center"/>
    </xf>
    <xf numFmtId="0" fontId="28" fillId="0" borderId="0" xfId="0" applyFont="1" applyAlignment="1">
      <alignment horizontal="right" vertical="center" indent="2"/>
    </xf>
    <xf numFmtId="0" fontId="28" fillId="0" borderId="0" xfId="0" applyFont="1" applyAlignment="1">
      <alignment horizontal="left" vertical="center"/>
    </xf>
    <xf numFmtId="0" fontId="28" fillId="0" borderId="0" xfId="0" applyFont="1" applyAlignment="1">
      <alignment horizontal="left" vertical="center" indent="1"/>
    </xf>
    <xf numFmtId="0" fontId="29" fillId="0" borderId="0" xfId="0" applyFont="1" applyAlignment="1">
      <alignment horizontal="left" vertical="center"/>
    </xf>
    <xf numFmtId="0" fontId="30" fillId="0" borderId="0" xfId="0" applyFont="1" applyAlignment="1">
      <alignment horizontal="left" vertical="center"/>
    </xf>
    <xf numFmtId="0" fontId="29" fillId="0" borderId="0" xfId="0" applyFont="1">
      <alignment vertical="center"/>
    </xf>
    <xf numFmtId="0" fontId="29" fillId="0" borderId="0" xfId="0" applyFont="1" applyAlignment="1">
      <alignment horizontal="left" vertical="center" indent="1"/>
    </xf>
    <xf numFmtId="0" fontId="29" fillId="0" borderId="0" xfId="0" applyFont="1" applyAlignment="1">
      <alignment horizontal="left" vertical="top"/>
    </xf>
    <xf numFmtId="0" fontId="29" fillId="0" borderId="0" xfId="0" applyFont="1" applyAlignment="1">
      <alignment horizontal="left" vertical="center" indent="3"/>
    </xf>
    <xf numFmtId="49" fontId="28" fillId="0" borderId="0" xfId="0" applyNumberFormat="1" applyFont="1">
      <alignment vertical="center"/>
    </xf>
    <xf numFmtId="0" fontId="29" fillId="0" borderId="0" xfId="0" applyFont="1" applyAlignment="1">
      <alignment horizontal="right" vertical="center"/>
    </xf>
    <xf numFmtId="0" fontId="29" fillId="0" borderId="0" xfId="0" applyFont="1" applyAlignment="1">
      <alignment horizontal="left" vertical="center" indent="2"/>
    </xf>
    <xf numFmtId="185" fontId="29" fillId="0" borderId="0" xfId="0" applyNumberFormat="1" applyFont="1" applyAlignment="1">
      <alignment vertical="center"/>
    </xf>
    <xf numFmtId="178" fontId="1" fillId="0" borderId="26" xfId="0" applyNumberFormat="1" applyFont="1" applyFill="1" applyBorder="1" applyAlignment="1">
      <alignment vertical="center" shrinkToFit="1"/>
    </xf>
    <xf numFmtId="0" fontId="1" fillId="0" borderId="60" xfId="0" applyFont="1" applyBorder="1" applyAlignment="1">
      <alignment vertical="center" textRotation="255"/>
    </xf>
    <xf numFmtId="0" fontId="1" fillId="5" borderId="26" xfId="0" applyFont="1" applyFill="1" applyBorder="1" applyAlignment="1">
      <alignment vertical="center" shrinkToFit="1"/>
    </xf>
    <xf numFmtId="0" fontId="1" fillId="5" borderId="31" xfId="0" applyFont="1" applyFill="1" applyBorder="1" applyAlignment="1">
      <alignment vertical="center" shrinkToFit="1"/>
    </xf>
    <xf numFmtId="0" fontId="1" fillId="5" borderId="3" xfId="0" applyFont="1" applyFill="1" applyBorder="1" applyAlignment="1">
      <alignment vertical="center" shrinkToFit="1"/>
    </xf>
    <xf numFmtId="0" fontId="1" fillId="5" borderId="4" xfId="0" applyFont="1" applyFill="1" applyBorder="1" applyAlignment="1">
      <alignment vertical="center" shrinkToFit="1"/>
    </xf>
    <xf numFmtId="0" fontId="1" fillId="5" borderId="35" xfId="0" applyFont="1" applyFill="1" applyBorder="1" applyAlignment="1">
      <alignment vertical="center" shrinkToFit="1"/>
    </xf>
    <xf numFmtId="0" fontId="1" fillId="5" borderId="0" xfId="0" applyFont="1" applyFill="1">
      <alignment vertical="center"/>
    </xf>
    <xf numFmtId="0" fontId="6" fillId="2" borderId="27" xfId="0" applyFont="1" applyFill="1" applyBorder="1" applyAlignment="1">
      <alignment vertical="center" shrinkToFit="1"/>
    </xf>
    <xf numFmtId="0" fontId="6" fillId="2" borderId="32" xfId="0" applyFont="1" applyFill="1" applyBorder="1" applyAlignment="1">
      <alignment vertical="center" shrinkToFit="1"/>
    </xf>
    <xf numFmtId="0" fontId="1" fillId="0" borderId="69" xfId="0" applyFont="1" applyBorder="1" applyAlignment="1">
      <alignment vertical="center"/>
    </xf>
    <xf numFmtId="0" fontId="1" fillId="0" borderId="69" xfId="0" applyFont="1" applyBorder="1" applyAlignment="1">
      <alignment vertical="center" shrinkToFit="1"/>
    </xf>
    <xf numFmtId="0" fontId="5" fillId="0" borderId="59" xfId="0" applyFont="1" applyBorder="1" applyAlignment="1" applyProtection="1">
      <alignment vertical="center"/>
      <protection locked="0"/>
    </xf>
    <xf numFmtId="0" fontId="1" fillId="3" borderId="52" xfId="0" applyFont="1" applyFill="1" applyBorder="1" applyProtection="1">
      <alignment vertical="center"/>
      <protection locked="0"/>
    </xf>
    <xf numFmtId="0" fontId="1" fillId="3" borderId="58" xfId="0" applyFont="1" applyFill="1" applyBorder="1" applyProtection="1">
      <alignment vertical="center"/>
      <protection locked="0"/>
    </xf>
    <xf numFmtId="176" fontId="1" fillId="2" borderId="56" xfId="0" applyNumberFormat="1" applyFont="1" applyFill="1" applyBorder="1" applyAlignment="1">
      <alignment vertical="center" wrapText="1"/>
    </xf>
    <xf numFmtId="0" fontId="31" fillId="0" borderId="0" xfId="0" applyFont="1" applyAlignment="1">
      <alignment vertical="center"/>
    </xf>
    <xf numFmtId="176" fontId="1" fillId="2" borderId="60" xfId="0" applyNumberFormat="1" applyFont="1" applyFill="1" applyBorder="1" applyAlignment="1">
      <alignment vertical="center" wrapText="1"/>
    </xf>
    <xf numFmtId="176" fontId="1" fillId="2" borderId="52" xfId="0" applyNumberFormat="1" applyFont="1" applyFill="1" applyBorder="1" applyAlignment="1">
      <alignment vertical="center" wrapText="1"/>
    </xf>
    <xf numFmtId="0" fontId="1" fillId="0" borderId="0" xfId="0" applyNumberFormat="1" applyFont="1" applyFill="1" applyAlignment="1">
      <alignment horizontal="left"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5" fillId="0" borderId="0" xfId="0" applyFont="1" applyFill="1" applyBorder="1">
      <alignment vertical="center"/>
    </xf>
    <xf numFmtId="0" fontId="9" fillId="8" borderId="0" xfId="0" applyFont="1" applyFill="1" applyAlignment="1">
      <alignment vertical="center"/>
    </xf>
    <xf numFmtId="0" fontId="1" fillId="0" borderId="0" xfId="0" applyFont="1" applyProtection="1">
      <alignment vertical="center"/>
      <protection locked="0"/>
    </xf>
    <xf numFmtId="0" fontId="1" fillId="0" borderId="0" xfId="0" applyFont="1" applyAlignment="1" applyProtection="1">
      <alignment vertical="center" shrinkToFit="1"/>
      <protection locked="0"/>
    </xf>
    <xf numFmtId="0" fontId="25" fillId="0" borderId="0" xfId="0" applyFont="1">
      <alignment vertical="center"/>
    </xf>
    <xf numFmtId="0" fontId="25" fillId="0" borderId="0" xfId="0" applyFont="1" applyFill="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3" fillId="0" borderId="0" xfId="0" applyFont="1" applyAlignment="1">
      <alignment horizontal="center" vertical="center"/>
    </xf>
    <xf numFmtId="49" fontId="1" fillId="6" borderId="5" xfId="0" applyNumberFormat="1" applyFont="1" applyFill="1" applyBorder="1" applyAlignment="1" applyProtection="1">
      <alignment horizontal="center" vertical="center" shrinkToFit="1"/>
      <protection locked="0"/>
    </xf>
    <xf numFmtId="49" fontId="1" fillId="6" borderId="6" xfId="0" applyNumberFormat="1" applyFont="1" applyFill="1" applyBorder="1" applyAlignment="1" applyProtection="1">
      <alignment horizontal="center" vertical="center" shrinkToFit="1"/>
      <protection locked="0"/>
    </xf>
    <xf numFmtId="0" fontId="1" fillId="3" borderId="8" xfId="0" applyFont="1" applyFill="1" applyBorder="1" applyAlignment="1" applyProtection="1">
      <alignment horizontal="left" vertical="center"/>
      <protection locked="0"/>
    </xf>
    <xf numFmtId="0" fontId="1" fillId="0" borderId="8" xfId="0" applyFont="1" applyBorder="1" applyAlignment="1">
      <alignment horizontal="left" vertical="center"/>
    </xf>
    <xf numFmtId="0" fontId="1" fillId="0" borderId="20" xfId="0" applyFont="1" applyBorder="1" applyAlignment="1">
      <alignment horizontal="left" vertical="center"/>
    </xf>
    <xf numFmtId="0" fontId="1" fillId="0" borderId="7" xfId="0" applyFont="1" applyBorder="1" applyAlignment="1">
      <alignment horizontal="left" vertical="center"/>
    </xf>
    <xf numFmtId="0" fontId="1" fillId="0" borderId="34" xfId="0" applyFont="1" applyBorder="1" applyAlignment="1">
      <alignment horizontal="left" vertical="center"/>
    </xf>
    <xf numFmtId="0" fontId="1" fillId="0" borderId="55" xfId="0" applyFont="1" applyBorder="1" applyAlignment="1">
      <alignment horizontal="center" vertical="center"/>
    </xf>
    <xf numFmtId="0" fontId="1" fillId="0" borderId="62"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40"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40"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 fillId="0" borderId="43" xfId="0" applyFont="1" applyBorder="1" applyAlignment="1">
      <alignment horizontal="center" vertical="center" textRotation="255"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7" xfId="0" applyFont="1" applyBorder="1" applyAlignment="1">
      <alignment horizontal="center" vertical="center"/>
    </xf>
    <xf numFmtId="0" fontId="1" fillId="0" borderId="42" xfId="0" applyFont="1" applyBorder="1" applyAlignment="1">
      <alignment horizontal="center" vertical="center" wrapText="1"/>
    </xf>
    <xf numFmtId="0" fontId="1" fillId="0" borderId="16" xfId="0" applyFont="1" applyFill="1" applyBorder="1" applyAlignment="1">
      <alignment horizontal="left" vertical="center"/>
    </xf>
    <xf numFmtId="0" fontId="1" fillId="0" borderId="19" xfId="0" applyFont="1" applyFill="1" applyBorder="1" applyAlignment="1">
      <alignment horizontal="left" vertical="center"/>
    </xf>
    <xf numFmtId="20" fontId="1" fillId="6" borderId="8" xfId="0" applyNumberFormat="1" applyFont="1" applyFill="1" applyBorder="1" applyAlignment="1" applyProtection="1">
      <alignment horizontal="center" vertical="center"/>
      <protection locked="0"/>
    </xf>
    <xf numFmtId="0" fontId="1" fillId="0" borderId="9" xfId="0" applyFont="1" applyBorder="1" applyAlignment="1">
      <alignment horizontal="left" vertical="center"/>
    </xf>
    <xf numFmtId="0" fontId="1" fillId="3" borderId="11" xfId="0" applyFont="1" applyFill="1" applyBorder="1" applyAlignment="1" applyProtection="1">
      <alignment horizontal="left" vertical="center"/>
      <protection locked="0"/>
    </xf>
    <xf numFmtId="0" fontId="1" fillId="0" borderId="15" xfId="0" applyFont="1" applyBorder="1" applyAlignment="1">
      <alignment horizontal="left" vertical="center"/>
    </xf>
    <xf numFmtId="0" fontId="3" fillId="0" borderId="16"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18" xfId="0" applyNumberFormat="1" applyFont="1" applyBorder="1" applyAlignment="1">
      <alignment horizontal="righ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2" borderId="8" xfId="0" applyNumberFormat="1" applyFont="1" applyFill="1" applyBorder="1" applyAlignment="1">
      <alignment horizontal="center" vertical="center" shrinkToFit="1"/>
    </xf>
    <xf numFmtId="176" fontId="1" fillId="2" borderId="8"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4" fontId="5" fillId="3" borderId="13" xfId="0" applyNumberFormat="1" applyFont="1" applyFill="1" applyBorder="1" applyAlignment="1" applyProtection="1">
      <alignment horizontal="center" vertical="center" shrinkToFit="1"/>
      <protection locked="0"/>
    </xf>
    <xf numFmtId="14" fontId="5" fillId="3" borderId="14" xfId="0" applyNumberFormat="1" applyFont="1" applyFill="1" applyBorder="1" applyAlignment="1" applyProtection="1">
      <alignment horizontal="center" vertical="center" shrinkToFit="1"/>
      <protection locked="0"/>
    </xf>
    <xf numFmtId="0" fontId="1" fillId="0" borderId="16" xfId="0" applyFont="1" applyFill="1" applyBorder="1" applyAlignment="1">
      <alignment horizontal="right" vertical="center"/>
    </xf>
    <xf numFmtId="186" fontId="1" fillId="2" borderId="16" xfId="0" applyNumberFormat="1" applyFont="1" applyFill="1" applyBorder="1" applyAlignment="1">
      <alignment horizontal="right" vertical="center"/>
    </xf>
    <xf numFmtId="181" fontId="5" fillId="3" borderId="13" xfId="0" applyNumberFormat="1" applyFont="1" applyFill="1" applyBorder="1" applyAlignment="1" applyProtection="1">
      <alignment horizontal="center" vertical="center" shrinkToFit="1"/>
      <protection locked="0"/>
    </xf>
    <xf numFmtId="181" fontId="5" fillId="3" borderId="14" xfId="0" applyNumberFormat="1" applyFont="1" applyFill="1" applyBorder="1" applyAlignment="1" applyProtection="1">
      <alignment horizontal="center" vertical="center" shrinkToFit="1"/>
      <protection locked="0"/>
    </xf>
    <xf numFmtId="177" fontId="1" fillId="2" borderId="0" xfId="0" applyNumberFormat="1" applyFont="1" applyFill="1" applyAlignment="1">
      <alignment horizontal="center" vertical="center"/>
    </xf>
    <xf numFmtId="0" fontId="1" fillId="0" borderId="0" xfId="0" applyFont="1" applyAlignment="1">
      <alignment horizontal="center" vertical="center"/>
    </xf>
    <xf numFmtId="0" fontId="1" fillId="0" borderId="48" xfId="0" applyFont="1" applyBorder="1" applyAlignment="1">
      <alignment horizontal="center" vertical="center"/>
    </xf>
    <xf numFmtId="0" fontId="1" fillId="0" borderId="53"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xf>
    <xf numFmtId="0" fontId="1" fillId="0" borderId="51" xfId="0" applyFont="1" applyBorder="1" applyAlignment="1">
      <alignment horizontal="center" vertical="center"/>
    </xf>
    <xf numFmtId="178" fontId="1" fillId="2" borderId="16" xfId="0" applyNumberFormat="1" applyFont="1" applyFill="1" applyBorder="1" applyAlignment="1">
      <alignment horizontal="center" vertical="center"/>
    </xf>
    <xf numFmtId="178" fontId="1" fillId="2" borderId="19"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7" xfId="0" applyFont="1" applyFill="1" applyBorder="1" applyAlignment="1">
      <alignment horizontal="center" vertical="center"/>
    </xf>
    <xf numFmtId="176" fontId="1" fillId="2" borderId="16" xfId="0" applyNumberFormat="1" applyFont="1" applyFill="1" applyBorder="1" applyAlignment="1">
      <alignment horizontal="center" vertical="center"/>
    </xf>
    <xf numFmtId="178" fontId="1" fillId="2" borderId="47" xfId="0" applyNumberFormat="1" applyFont="1" applyFill="1" applyBorder="1" applyAlignment="1">
      <alignment horizontal="center" vertical="center"/>
    </xf>
    <xf numFmtId="178" fontId="1" fillId="2" borderId="65"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8" fontId="1" fillId="2" borderId="11"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178" fontId="1" fillId="2" borderId="7" xfId="0" applyNumberFormat="1" applyFont="1" applyFill="1" applyBorder="1" applyAlignment="1">
      <alignment horizontal="center" vertical="center"/>
    </xf>
    <xf numFmtId="178" fontId="1" fillId="2" borderId="9" xfId="0" applyNumberFormat="1" applyFont="1" applyFill="1" applyBorder="1" applyAlignment="1">
      <alignment horizontal="center" vertical="center"/>
    </xf>
    <xf numFmtId="0" fontId="1" fillId="0" borderId="61" xfId="0" applyFont="1" applyBorder="1" applyAlignment="1">
      <alignment horizontal="center" vertical="center" shrinkToFit="1"/>
    </xf>
    <xf numFmtId="0" fontId="1" fillId="0" borderId="61" xfId="0" applyFont="1" applyBorder="1" applyAlignment="1">
      <alignment horizontal="center" vertical="center"/>
    </xf>
    <xf numFmtId="0" fontId="1" fillId="3" borderId="47" xfId="0" applyFont="1" applyFill="1" applyBorder="1" applyAlignment="1">
      <alignment horizontal="left" vertical="center" shrinkToFit="1"/>
    </xf>
    <xf numFmtId="0" fontId="1" fillId="3" borderId="11" xfId="0" applyFont="1" applyFill="1" applyBorder="1" applyAlignment="1">
      <alignment horizontal="left" vertical="center" shrinkToFit="1"/>
    </xf>
    <xf numFmtId="0" fontId="1" fillId="3" borderId="7" xfId="0" applyFont="1" applyFill="1" applyBorder="1" applyAlignment="1">
      <alignment horizontal="left" vertical="center" shrinkToFit="1"/>
    </xf>
    <xf numFmtId="0" fontId="1" fillId="3" borderId="3" xfId="0" applyFont="1" applyFill="1" applyBorder="1" applyAlignment="1">
      <alignment horizontal="left" vertical="center" shrinkToFit="1"/>
    </xf>
    <xf numFmtId="0" fontId="1" fillId="3" borderId="16" xfId="0" applyFont="1" applyFill="1" applyBorder="1" applyAlignment="1">
      <alignment horizontal="left" vertical="center" shrinkToFit="1"/>
    </xf>
    <xf numFmtId="176" fontId="1" fillId="2" borderId="47"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41" xfId="0" applyFont="1" applyBorder="1" applyAlignment="1">
      <alignment horizontal="center" vertical="center"/>
    </xf>
    <xf numFmtId="0" fontId="1" fillId="0" borderId="39" xfId="0" applyFont="1" applyBorder="1" applyAlignment="1">
      <alignment horizontal="center" vertical="center"/>
    </xf>
    <xf numFmtId="0" fontId="1" fillId="0" borderId="26" xfId="0" applyFont="1" applyBorder="1" applyAlignment="1">
      <alignment horizontal="left"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49" fontId="1" fillId="2" borderId="16"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3" borderId="8" xfId="0" applyNumberFormat="1" applyFont="1" applyFill="1" applyBorder="1" applyAlignment="1" applyProtection="1">
      <alignment horizontal="center" vertical="center"/>
      <protection locked="0"/>
    </xf>
    <xf numFmtId="185" fontId="1" fillId="2" borderId="8" xfId="0" applyNumberFormat="1" applyFont="1" applyFill="1" applyBorder="1" applyAlignment="1">
      <alignment horizontal="center" vertical="center"/>
    </xf>
    <xf numFmtId="185" fontId="1" fillId="2" borderId="20" xfId="0" applyNumberFormat="1" applyFont="1" applyFill="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1" fillId="3" borderId="1" xfId="0" applyNumberFormat="1" applyFont="1" applyFill="1" applyBorder="1" applyAlignment="1" applyProtection="1">
      <alignment horizontal="center" vertical="center" wrapText="1"/>
      <protection locked="0"/>
    </xf>
    <xf numFmtId="49" fontId="1" fillId="3" borderId="60"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49" fontId="1" fillId="3" borderId="21" xfId="0" applyNumberFormat="1" applyFont="1" applyFill="1" applyBorder="1" applyAlignment="1" applyProtection="1">
      <alignment horizontal="center" vertical="center" wrapText="1"/>
      <protection locked="0"/>
    </xf>
    <xf numFmtId="49" fontId="1" fillId="3" borderId="52" xfId="0" applyNumberFormat="1" applyFont="1" applyFill="1" applyBorder="1" applyAlignment="1" applyProtection="1">
      <alignment horizontal="center" vertical="center" wrapText="1"/>
      <protection locked="0"/>
    </xf>
    <xf numFmtId="49" fontId="1" fillId="3" borderId="22" xfId="0" applyNumberFormat="1"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60"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52"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2" borderId="22" xfId="0" applyFont="1" applyFill="1" applyBorder="1" applyAlignment="1">
      <alignment horizontal="left" vertical="center"/>
    </xf>
    <xf numFmtId="176" fontId="1" fillId="2" borderId="0" xfId="0" applyNumberFormat="1" applyFont="1" applyFill="1" applyAlignment="1">
      <alignment horizontal="center" vertical="center"/>
    </xf>
    <xf numFmtId="0" fontId="1" fillId="3" borderId="58" xfId="0" applyFont="1" applyFill="1" applyBorder="1" applyAlignment="1" applyProtection="1">
      <alignment horizontal="center" vertical="center" wrapText="1"/>
      <protection locked="0"/>
    </xf>
    <xf numFmtId="176"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3" borderId="56"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wrapText="1"/>
      <protection locked="0"/>
    </xf>
    <xf numFmtId="0" fontId="1" fillId="0" borderId="29" xfId="0" applyFont="1" applyBorder="1" applyAlignment="1">
      <alignment horizontal="center" vertical="center"/>
    </xf>
    <xf numFmtId="0" fontId="1" fillId="0" borderId="56" xfId="0" applyFont="1" applyBorder="1" applyAlignment="1">
      <alignment horizontal="center" vertical="center"/>
    </xf>
    <xf numFmtId="0" fontId="1" fillId="0" borderId="29" xfId="0" applyNumberFormat="1" applyFont="1" applyFill="1" applyBorder="1" applyAlignment="1">
      <alignment horizontal="center" vertical="center" shrinkToFit="1"/>
    </xf>
    <xf numFmtId="0" fontId="1" fillId="0" borderId="56" xfId="0" applyNumberFormat="1" applyFont="1" applyFill="1" applyBorder="1" applyAlignment="1">
      <alignment horizontal="center" vertical="center" shrinkToFit="1"/>
    </xf>
    <xf numFmtId="0" fontId="1" fillId="0" borderId="0" xfId="0" applyFont="1" applyAlignment="1">
      <alignment horizontal="center" vertical="center" shrinkToFit="1"/>
    </xf>
    <xf numFmtId="0" fontId="1" fillId="3" borderId="54" xfId="0" applyFont="1" applyFill="1" applyBorder="1" applyAlignment="1" applyProtection="1">
      <alignment horizontal="center" vertical="center" wrapText="1"/>
      <protection locked="0"/>
    </xf>
    <xf numFmtId="0" fontId="1" fillId="2" borderId="54"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0" xfId="0" applyFont="1" applyFill="1" applyAlignment="1">
      <alignment horizontal="center" vertical="center"/>
    </xf>
    <xf numFmtId="0" fontId="1" fillId="0" borderId="0" xfId="0" applyFont="1" applyAlignment="1">
      <alignment horizontal="distributed" vertical="distributed" shrinkToFit="1"/>
    </xf>
    <xf numFmtId="56" fontId="1" fillId="0" borderId="5" xfId="0" applyNumberFormat="1" applyFont="1" applyBorder="1" applyAlignment="1">
      <alignment horizontal="center" vertical="center"/>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38" xfId="0" applyFont="1" applyBorder="1" applyAlignment="1">
      <alignment horizontal="center" vertical="center"/>
    </xf>
    <xf numFmtId="0" fontId="1" fillId="0" borderId="60" xfId="0" applyFont="1" applyBorder="1" applyAlignment="1">
      <alignment horizontal="center" vertical="center"/>
    </xf>
    <xf numFmtId="0" fontId="1" fillId="0" borderId="67" xfId="0" applyFont="1" applyBorder="1" applyAlignment="1">
      <alignment horizontal="center" vertical="center"/>
    </xf>
    <xf numFmtId="0" fontId="1" fillId="0" borderId="54"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54" xfId="0" applyFont="1" applyBorder="1" applyAlignment="1">
      <alignment horizontal="center" vertical="center"/>
    </xf>
    <xf numFmtId="0" fontId="1" fillId="0" borderId="63" xfId="0" applyFont="1" applyBorder="1" applyAlignment="1">
      <alignment horizontal="center" vertical="center"/>
    </xf>
    <xf numFmtId="0" fontId="1" fillId="0" borderId="45"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64" xfId="0" applyFont="1" applyBorder="1" applyAlignment="1">
      <alignment horizontal="center" vertical="center" shrinkToFit="1"/>
    </xf>
    <xf numFmtId="0" fontId="1" fillId="3" borderId="45"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177" fontId="1" fillId="0" borderId="0" xfId="0" applyNumberFormat="1" applyFont="1" applyAlignment="1">
      <alignment horizontal="center" vertical="center"/>
    </xf>
    <xf numFmtId="177" fontId="1" fillId="0" borderId="0" xfId="0" applyNumberFormat="1" applyFont="1" applyBorder="1" applyAlignment="1">
      <alignment vertical="center" shrinkToFit="1"/>
    </xf>
    <xf numFmtId="0" fontId="0" fillId="0" borderId="0" xfId="0" applyAlignment="1">
      <alignment vertical="center" shrinkToFit="1"/>
    </xf>
    <xf numFmtId="0" fontId="1" fillId="0" borderId="21" xfId="0" applyFont="1" applyBorder="1" applyAlignment="1">
      <alignment horizontal="center" vertical="center"/>
    </xf>
    <xf numFmtId="0" fontId="1" fillId="0" borderId="52" xfId="0" applyFont="1" applyBorder="1" applyAlignment="1">
      <alignment horizontal="center" vertical="center"/>
    </xf>
    <xf numFmtId="0" fontId="1" fillId="0" borderId="50" xfId="0" applyFont="1" applyBorder="1" applyAlignment="1">
      <alignment horizontal="center" vertical="center"/>
    </xf>
    <xf numFmtId="176" fontId="1" fillId="0" borderId="0" xfId="0" applyNumberFormat="1" applyFont="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49" fontId="1" fillId="2" borderId="34" xfId="0" applyNumberFormat="1" applyFont="1" applyFill="1" applyBorder="1" applyAlignment="1">
      <alignment horizontal="center" vertical="center"/>
    </xf>
    <xf numFmtId="49" fontId="1" fillId="2" borderId="44"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xf>
    <xf numFmtId="49" fontId="1" fillId="2" borderId="32" xfId="0" applyNumberFormat="1" applyFont="1" applyFill="1" applyBorder="1" applyAlignment="1">
      <alignment horizontal="center" vertical="center"/>
    </xf>
    <xf numFmtId="49" fontId="1" fillId="2" borderId="52" xfId="0" applyNumberFormat="1" applyFont="1" applyFill="1" applyBorder="1" applyAlignment="1">
      <alignment horizontal="center" vertical="center"/>
    </xf>
    <xf numFmtId="49" fontId="1" fillId="2" borderId="22" xfId="0" applyNumberFormat="1" applyFont="1" applyFill="1" applyBorder="1" applyAlignment="1">
      <alignment horizontal="center" vertical="center"/>
    </xf>
    <xf numFmtId="0" fontId="1" fillId="2" borderId="29"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22" xfId="0" applyFon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30"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5" fillId="0" borderId="53" xfId="0" applyFont="1" applyBorder="1" applyAlignment="1">
      <alignment horizontal="center" vertical="center"/>
    </xf>
    <xf numFmtId="0" fontId="1" fillId="0" borderId="45" xfId="0" applyFont="1" applyBorder="1" applyAlignment="1">
      <alignment horizontal="center" vertical="center"/>
    </xf>
    <xf numFmtId="0" fontId="1" fillId="0" borderId="58" xfId="0" applyFont="1" applyBorder="1" applyAlignment="1">
      <alignment horizontal="center" vertical="center"/>
    </xf>
    <xf numFmtId="0" fontId="1" fillId="0" borderId="64" xfId="0" applyFont="1" applyBorder="1" applyAlignment="1">
      <alignment horizontal="center" vertical="center"/>
    </xf>
    <xf numFmtId="0" fontId="1" fillId="0" borderId="0" xfId="0" applyFont="1" applyAlignment="1">
      <alignment horizontal="right" vertical="center" shrinkToFit="1"/>
    </xf>
    <xf numFmtId="0" fontId="1" fillId="0" borderId="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0" xfId="0" applyFont="1" applyBorder="1" applyAlignment="1">
      <alignment horizontal="distributed" vertical="distributed"/>
    </xf>
    <xf numFmtId="0" fontId="1" fillId="0" borderId="25" xfId="0" applyFont="1" applyBorder="1" applyAlignment="1">
      <alignment horizontal="left" vertical="center"/>
    </xf>
    <xf numFmtId="0" fontId="1" fillId="2" borderId="8" xfId="0" applyFont="1" applyFill="1" applyBorder="1" applyAlignment="1">
      <alignment horizontal="center" vertical="center"/>
    </xf>
    <xf numFmtId="0" fontId="1" fillId="2" borderId="20" xfId="0" applyFont="1" applyFill="1" applyBorder="1" applyAlignment="1">
      <alignment horizontal="center" vertical="center"/>
    </xf>
    <xf numFmtId="0" fontId="7" fillId="0" borderId="8"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5" fillId="0" borderId="1" xfId="0" applyFont="1" applyBorder="1" applyAlignment="1">
      <alignment horizontal="center" vertical="center"/>
    </xf>
    <xf numFmtId="0" fontId="5" fillId="0" borderId="60" xfId="0" applyFont="1" applyBorder="1" applyAlignment="1">
      <alignment horizontal="center" vertical="center"/>
    </xf>
    <xf numFmtId="0" fontId="5" fillId="0" borderId="49" xfId="0" applyFont="1" applyBorder="1" applyAlignment="1">
      <alignment horizontal="center" vertical="center"/>
    </xf>
    <xf numFmtId="0" fontId="5" fillId="0" borderId="13" xfId="0" applyFont="1" applyBorder="1" applyAlignment="1">
      <alignment horizontal="center" vertical="center"/>
    </xf>
    <xf numFmtId="0" fontId="5" fillId="0" borderId="61" xfId="0" applyFont="1" applyBorder="1" applyAlignment="1">
      <alignment horizontal="center" vertical="center"/>
    </xf>
    <xf numFmtId="0" fontId="5" fillId="0" borderId="51" xfId="0" applyFont="1" applyBorder="1" applyAlignment="1">
      <alignment horizontal="center" vertical="center"/>
    </xf>
    <xf numFmtId="185" fontId="1" fillId="0" borderId="34" xfId="0" applyNumberFormat="1" applyFont="1" applyFill="1" applyBorder="1" applyAlignment="1">
      <alignment horizontal="center" vertical="center"/>
    </xf>
    <xf numFmtId="185" fontId="1" fillId="0" borderId="44" xfId="0" applyNumberFormat="1" applyFont="1" applyFill="1" applyBorder="1" applyAlignment="1">
      <alignment horizontal="center" vertical="center"/>
    </xf>
    <xf numFmtId="185" fontId="1" fillId="0" borderId="68" xfId="0" applyNumberFormat="1" applyFont="1" applyFill="1" applyBorder="1" applyAlignment="1">
      <alignment horizontal="center" vertical="center"/>
    </xf>
    <xf numFmtId="185" fontId="1" fillId="0" borderId="32" xfId="0" applyNumberFormat="1" applyFont="1" applyFill="1" applyBorder="1" applyAlignment="1">
      <alignment horizontal="center" vertical="center"/>
    </xf>
    <xf numFmtId="185" fontId="1" fillId="0" borderId="52" xfId="0" applyNumberFormat="1" applyFont="1" applyFill="1" applyBorder="1" applyAlignment="1">
      <alignment horizontal="center" vertical="center"/>
    </xf>
    <xf numFmtId="185" fontId="1" fillId="0" borderId="50" xfId="0" applyNumberFormat="1" applyFont="1" applyFill="1" applyBorder="1" applyAlignment="1">
      <alignment horizontal="center" vertical="center"/>
    </xf>
    <xf numFmtId="185" fontId="1" fillId="0" borderId="29" xfId="0" applyNumberFormat="1" applyFont="1" applyFill="1" applyBorder="1" applyAlignment="1">
      <alignment horizontal="center" vertical="center"/>
    </xf>
    <xf numFmtId="185" fontId="1" fillId="0" borderId="56" xfId="0" applyNumberFormat="1" applyFont="1" applyFill="1" applyBorder="1" applyAlignment="1">
      <alignment horizontal="center" vertical="center"/>
    </xf>
    <xf numFmtId="185" fontId="1" fillId="0" borderId="63" xfId="0" applyNumberFormat="1"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56" xfId="0" applyFont="1" applyFill="1" applyBorder="1" applyAlignment="1">
      <alignment horizontal="center" vertical="center" wrapText="1"/>
    </xf>
    <xf numFmtId="176" fontId="1" fillId="2" borderId="29" xfId="0" applyNumberFormat="1" applyFont="1" applyFill="1" applyBorder="1" applyAlignment="1">
      <alignment horizontal="right" vertical="center" wrapText="1"/>
    </xf>
    <xf numFmtId="176" fontId="1" fillId="2" borderId="56" xfId="0" applyNumberFormat="1" applyFont="1" applyFill="1" applyBorder="1" applyAlignment="1">
      <alignment horizontal="right" vertical="center" wrapText="1"/>
    </xf>
    <xf numFmtId="0" fontId="31" fillId="2" borderId="56" xfId="0" applyFont="1" applyFill="1" applyBorder="1" applyAlignment="1">
      <alignment horizontal="center" vertical="center" shrinkToFit="1"/>
    </xf>
    <xf numFmtId="0" fontId="31" fillId="2" borderId="30" xfId="0" applyFont="1" applyFill="1" applyBorder="1" applyAlignment="1">
      <alignment horizontal="center" vertical="center" shrinkToFit="1"/>
    </xf>
    <xf numFmtId="176" fontId="31" fillId="2" borderId="56" xfId="0" applyNumberFormat="1" applyFont="1" applyFill="1" applyBorder="1" applyAlignment="1">
      <alignment horizontal="center" vertical="center" wrapText="1"/>
    </xf>
    <xf numFmtId="176" fontId="31" fillId="2" borderId="30" xfId="0" applyNumberFormat="1" applyFont="1" applyFill="1" applyBorder="1" applyAlignment="1">
      <alignment horizontal="center" vertical="center" wrapText="1"/>
    </xf>
    <xf numFmtId="176" fontId="1" fillId="2" borderId="17" xfId="0" applyNumberFormat="1" applyFont="1" applyFill="1" applyBorder="1" applyAlignment="1">
      <alignment horizontal="right" vertical="center" wrapText="1"/>
    </xf>
    <xf numFmtId="176" fontId="1" fillId="2" borderId="58" xfId="0" applyNumberFormat="1" applyFont="1" applyFill="1" applyBorder="1" applyAlignment="1">
      <alignment horizontal="right" vertical="center" wrapText="1"/>
    </xf>
    <xf numFmtId="0" fontId="31" fillId="2" borderId="58" xfId="0" applyFont="1" applyFill="1" applyBorder="1" applyAlignment="1">
      <alignment horizontal="center" vertical="center"/>
    </xf>
    <xf numFmtId="0" fontId="31" fillId="2" borderId="18" xfId="0" applyFont="1" applyFill="1" applyBorder="1" applyAlignment="1">
      <alignment horizontal="center" vertical="center"/>
    </xf>
    <xf numFmtId="176" fontId="1" fillId="2" borderId="38" xfId="0" applyNumberFormat="1" applyFont="1" applyFill="1" applyBorder="1" applyAlignment="1">
      <alignment horizontal="right" vertical="center" wrapText="1"/>
    </xf>
    <xf numFmtId="176" fontId="1" fillId="2" borderId="60" xfId="0" applyNumberFormat="1" applyFont="1" applyFill="1" applyBorder="1" applyAlignment="1">
      <alignment horizontal="right" vertical="center" wrapText="1"/>
    </xf>
    <xf numFmtId="176" fontId="1" fillId="2" borderId="32" xfId="0" applyNumberFormat="1" applyFont="1" applyFill="1" applyBorder="1" applyAlignment="1">
      <alignment horizontal="right" vertical="center" wrapText="1"/>
    </xf>
    <xf numFmtId="176" fontId="1" fillId="2" borderId="52" xfId="0" applyNumberFormat="1" applyFont="1" applyFill="1" applyBorder="1" applyAlignment="1">
      <alignment horizontal="right" vertical="center" wrapText="1"/>
    </xf>
    <xf numFmtId="0" fontId="23" fillId="0" borderId="0" xfId="0" applyFont="1" applyFill="1" applyAlignment="1">
      <alignment horizontal="center" vertical="center"/>
    </xf>
    <xf numFmtId="0" fontId="9" fillId="0" borderId="0" xfId="0" applyFont="1" applyFill="1" applyAlignment="1">
      <alignment horizontal="left" vertical="top"/>
    </xf>
    <xf numFmtId="0" fontId="18" fillId="0" borderId="0" xfId="0" applyFont="1" applyFill="1" applyBorder="1" applyAlignment="1">
      <alignment vertical="center"/>
    </xf>
    <xf numFmtId="0" fontId="18" fillId="0" borderId="0" xfId="0" applyFont="1" applyFill="1" applyAlignment="1">
      <alignment horizontal="center" vertical="center"/>
    </xf>
    <xf numFmtId="0" fontId="20" fillId="3" borderId="0" xfId="0" applyFont="1" applyFill="1" applyAlignment="1">
      <alignment horizontal="left" vertical="center"/>
    </xf>
    <xf numFmtId="0" fontId="9" fillId="0" borderId="0" xfId="0" applyFont="1" applyFill="1" applyAlignment="1">
      <alignment horizontal="left" vertical="top" wrapText="1"/>
    </xf>
    <xf numFmtId="49" fontId="19" fillId="0" borderId="0" xfId="0" applyNumberFormat="1" applyFont="1" applyFill="1" applyAlignment="1">
      <alignment horizontal="left" vertical="center"/>
    </xf>
    <xf numFmtId="0" fontId="18" fillId="0" borderId="0" xfId="0" applyFont="1" applyFill="1" applyAlignment="1">
      <alignment horizontal="left" vertical="center"/>
    </xf>
    <xf numFmtId="185" fontId="18" fillId="0" borderId="0" xfId="0" applyNumberFormat="1" applyFont="1" applyFill="1" applyAlignment="1">
      <alignment horizontal="center" vertical="center"/>
    </xf>
    <xf numFmtId="18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25" fillId="0" borderId="0" xfId="0" applyNumberFormat="1" applyFont="1" applyFill="1" applyBorder="1" applyAlignment="1">
      <alignment horizontal="center" vertical="center"/>
    </xf>
    <xf numFmtId="180" fontId="18" fillId="0" borderId="0" xfId="0" applyNumberFormat="1" applyFont="1" applyFill="1" applyAlignment="1">
      <alignment horizontal="center" vertical="center" shrinkToFit="1"/>
    </xf>
    <xf numFmtId="0" fontId="18" fillId="0" borderId="0" xfId="0" applyFont="1" applyFill="1" applyBorder="1" applyAlignment="1">
      <alignment horizontal="left" vertical="center"/>
    </xf>
    <xf numFmtId="0" fontId="27" fillId="3" borderId="0" xfId="0" applyFont="1" applyFill="1" applyAlignment="1">
      <alignment horizontal="left" vertical="top" wrapText="1"/>
    </xf>
    <xf numFmtId="0" fontId="19" fillId="0" borderId="0" xfId="0" applyFont="1" applyFill="1" applyBorder="1" applyAlignment="1">
      <alignment horizontal="left" vertical="center"/>
    </xf>
    <xf numFmtId="182" fontId="18" fillId="0" borderId="0" xfId="0" applyNumberFormat="1" applyFont="1" applyFill="1" applyBorder="1" applyAlignment="1">
      <alignment horizontal="left" vertical="top" wrapText="1"/>
    </xf>
    <xf numFmtId="0" fontId="18" fillId="0" borderId="0" xfId="0" applyFont="1" applyFill="1" applyBorder="1" applyAlignment="1">
      <alignment horizontal="left" vertical="top" wrapText="1"/>
    </xf>
    <xf numFmtId="0" fontId="11" fillId="0" borderId="0" xfId="0" applyFont="1" applyFill="1" applyAlignment="1">
      <alignment horizontal="center" vertical="center"/>
    </xf>
    <xf numFmtId="180" fontId="18" fillId="0" borderId="0" xfId="0" applyNumberFormat="1" applyFont="1" applyFill="1" applyAlignment="1">
      <alignment horizontal="center" vertical="center"/>
    </xf>
    <xf numFmtId="0" fontId="9" fillId="0" borderId="0" xfId="0" applyFont="1" applyFill="1" applyBorder="1" applyAlignment="1">
      <alignment horizontal="left" vertical="top" wrapText="1"/>
    </xf>
    <xf numFmtId="182" fontId="18" fillId="0" borderId="0" xfId="0" applyNumberFormat="1" applyFont="1" applyFill="1" applyBorder="1" applyAlignment="1">
      <alignment horizontal="center" vertical="center"/>
    </xf>
    <xf numFmtId="185" fontId="29" fillId="0" borderId="0" xfId="0" applyNumberFormat="1" applyFont="1" applyAlignment="1">
      <alignment horizontal="center" vertical="center"/>
    </xf>
    <xf numFmtId="182" fontId="29" fillId="0" borderId="0" xfId="0" applyNumberFormat="1" applyFont="1" applyAlignment="1">
      <alignment horizontal="left" vertical="center"/>
    </xf>
    <xf numFmtId="0" fontId="29" fillId="0" borderId="0" xfId="0" applyFont="1" applyAlignment="1">
      <alignment horizontal="center" vertical="center"/>
    </xf>
    <xf numFmtId="0" fontId="18" fillId="0" borderId="0" xfId="0" applyFont="1" applyFill="1" applyBorder="1" applyAlignment="1">
      <alignment horizontal="left" vertical="top"/>
    </xf>
    <xf numFmtId="49" fontId="9" fillId="0" borderId="0" xfId="0" applyNumberFormat="1" applyFont="1" applyBorder="1" applyAlignment="1">
      <alignment horizontal="left" vertical="center"/>
    </xf>
    <xf numFmtId="0" fontId="18" fillId="0" borderId="0" xfId="0" applyFont="1" applyFill="1" applyBorder="1" applyAlignment="1">
      <alignment horizontal="center" vertical="center" shrinkToFit="1"/>
    </xf>
    <xf numFmtId="180" fontId="18" fillId="0" borderId="0" xfId="0" applyNumberFormat="1" applyFont="1" applyFill="1" applyBorder="1" applyAlignment="1">
      <alignment horizontal="center" vertical="center" shrinkToFit="1"/>
    </xf>
    <xf numFmtId="0" fontId="23" fillId="0" borderId="0" xfId="0" applyFont="1" applyAlignment="1">
      <alignment horizontal="center" vertical="center"/>
    </xf>
    <xf numFmtId="0" fontId="20" fillId="4" borderId="0" xfId="0" applyFont="1" applyFill="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top"/>
    </xf>
    <xf numFmtId="0" fontId="18" fillId="0" borderId="0" xfId="0" applyFont="1" applyFill="1" applyAlignment="1">
      <alignment horizontal="left" vertical="center" shrinkToFit="1"/>
    </xf>
    <xf numFmtId="49" fontId="18" fillId="0" borderId="0" xfId="0" applyNumberFormat="1" applyFont="1" applyFill="1" applyAlignment="1">
      <alignment horizontal="left" vertical="center" shrinkToFit="1"/>
    </xf>
    <xf numFmtId="49" fontId="19" fillId="0" borderId="0" xfId="0" applyNumberFormat="1" applyFont="1" applyFill="1" applyAlignment="1">
      <alignment horizontal="center" vertical="center" shrinkToFit="1"/>
    </xf>
    <xf numFmtId="0" fontId="9" fillId="0" borderId="0" xfId="0" applyFont="1" applyAlignment="1">
      <alignment horizontal="left" vertical="center"/>
    </xf>
    <xf numFmtId="0" fontId="18" fillId="0" borderId="0" xfId="0" applyFont="1" applyFill="1" applyAlignment="1">
      <alignment horizontal="center" vertical="center" shrinkToFit="1"/>
    </xf>
    <xf numFmtId="180" fontId="18" fillId="0" borderId="0" xfId="0" applyNumberFormat="1" applyFont="1" applyFill="1" applyBorder="1" applyAlignment="1">
      <alignment horizontal="left" vertical="center" shrinkToFit="1"/>
    </xf>
    <xf numFmtId="0" fontId="9" fillId="0" borderId="0" xfId="0" applyFont="1" applyBorder="1" applyAlignment="1">
      <alignment horizontal="left" vertical="top" wrapText="1"/>
    </xf>
    <xf numFmtId="182" fontId="18" fillId="0" borderId="0" xfId="0" applyNumberFormat="1" applyFont="1" applyFill="1" applyBorder="1" applyAlignment="1">
      <alignment horizontal="left" vertical="center"/>
    </xf>
    <xf numFmtId="49" fontId="18" fillId="0" borderId="0" xfId="0" applyNumberFormat="1" applyFont="1" applyFill="1" applyAlignment="1">
      <alignment horizontal="center" vertical="center" shrinkToFit="1"/>
    </xf>
    <xf numFmtId="49" fontId="18" fillId="0" borderId="0" xfId="0" applyNumberFormat="1" applyFont="1" applyFill="1" applyBorder="1" applyAlignment="1">
      <alignment horizontal="left" vertical="center" shrinkToFit="1"/>
    </xf>
    <xf numFmtId="0" fontId="29" fillId="0" borderId="0" xfId="0" applyFont="1" applyAlignment="1">
      <alignment horizontal="justify" vertical="top" wrapText="1"/>
    </xf>
  </cellXfs>
  <cellStyles count="1">
    <cellStyle name="標準" xfId="0" builtinId="0"/>
  </cellStyles>
  <dxfs count="29">
    <dxf>
      <font>
        <color rgb="FFFFFFFF"/>
      </font>
    </dxf>
    <dxf>
      <font>
        <strike val="0"/>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bgColor theme="6" tint="0.79998168889431442"/>
        </patternFill>
      </fill>
    </dxf>
    <dxf>
      <font>
        <color theme="0"/>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94"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44</xdr:row>
          <xdr:rowOff>19050</xdr:rowOff>
        </xdr:from>
        <xdr:to>
          <xdr:col>5</xdr:col>
          <xdr:colOff>238125</xdr:colOff>
          <xdr:row>44</xdr:row>
          <xdr:rowOff>161925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5</xdr:col>
          <xdr:colOff>228600</xdr:colOff>
          <xdr:row>46</xdr:row>
          <xdr:rowOff>9525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312"/>
  <sheetViews>
    <sheetView tabSelected="1" showWhiteSpace="0" view="pageBreakPreview" zoomScaleNormal="100" zoomScaleSheetLayoutView="100" workbookViewId="0">
      <selection activeCell="E5" sqref="E5:G5"/>
    </sheetView>
  </sheetViews>
  <sheetFormatPr defaultColWidth="8.875" defaultRowHeight="13.5" customHeight="1" x14ac:dyDescent="0.15"/>
  <cols>
    <col min="1" max="1" width="4.125" style="1" customWidth="1"/>
    <col min="2" max="18" width="3.75" style="1" customWidth="1"/>
    <col min="19" max="19" width="3.375" style="1" customWidth="1"/>
    <col min="20" max="26" width="3.75" style="1" customWidth="1"/>
    <col min="27" max="27" width="4.5" style="1" customWidth="1"/>
    <col min="28" max="28" width="7.625" style="1" customWidth="1"/>
    <col min="29" max="29" width="9.375" style="1" customWidth="1"/>
    <col min="30" max="31" width="9.25" style="1" customWidth="1"/>
    <col min="32" max="32" width="9.75" style="1" customWidth="1"/>
    <col min="33" max="33" width="10" style="1" bestFit="1" customWidth="1"/>
    <col min="34" max="34" width="10.875" style="1" customWidth="1"/>
    <col min="35" max="35" width="9.75" style="1" bestFit="1" customWidth="1"/>
    <col min="36" max="36" width="9.625" style="1" bestFit="1" customWidth="1"/>
    <col min="37" max="37" width="9.25" style="11" customWidth="1"/>
    <col min="38" max="38" width="8.625" style="1" customWidth="1"/>
    <col min="39" max="39" width="5" style="1" customWidth="1"/>
    <col min="40" max="40" width="15.375" style="1" bestFit="1" customWidth="1"/>
    <col min="41" max="41" width="5" style="1" customWidth="1"/>
    <col min="42" max="42" width="21.5" style="1" customWidth="1"/>
    <col min="43" max="16384" width="8.875" style="1"/>
  </cols>
  <sheetData>
    <row r="1" spans="1:37" ht="13.5" customHeight="1" x14ac:dyDescent="0.15">
      <c r="A1" s="300" t="s">
        <v>348</v>
      </c>
      <c r="B1" s="300"/>
      <c r="C1" s="300"/>
      <c r="D1" s="300"/>
      <c r="E1" s="300"/>
      <c r="F1" s="300"/>
      <c r="G1" s="300"/>
      <c r="H1" s="300"/>
      <c r="I1" s="300"/>
      <c r="J1" s="300"/>
      <c r="K1" s="300"/>
      <c r="L1" s="300"/>
      <c r="M1" s="300"/>
      <c r="N1" s="300"/>
      <c r="O1" s="300"/>
      <c r="P1" s="300"/>
      <c r="Q1" s="300"/>
      <c r="R1" s="300"/>
      <c r="S1" s="300"/>
      <c r="T1" s="300"/>
      <c r="U1" s="300"/>
      <c r="V1" s="300"/>
      <c r="W1" s="300"/>
      <c r="X1" s="300"/>
      <c r="Y1" s="300"/>
      <c r="Z1" s="236"/>
      <c r="AA1" s="1" t="s">
        <v>359</v>
      </c>
    </row>
    <row r="2" spans="1:37" ht="13.5" customHeight="1" x14ac:dyDescent="0.15">
      <c r="U2" s="138"/>
      <c r="V2" s="140" t="s">
        <v>136</v>
      </c>
      <c r="Z2" s="98"/>
      <c r="AA2" s="13"/>
      <c r="AB2" s="14"/>
      <c r="AC2" s="308" t="s">
        <v>22</v>
      </c>
      <c r="AD2" s="328"/>
      <c r="AE2" s="309"/>
      <c r="AF2" s="321" t="s">
        <v>23</v>
      </c>
      <c r="AG2" s="322"/>
      <c r="AH2" s="323" t="s">
        <v>24</v>
      </c>
      <c r="AI2" s="310"/>
      <c r="AJ2" s="308" t="s">
        <v>25</v>
      </c>
      <c r="AK2" s="309"/>
    </row>
    <row r="3" spans="1:37" ht="13.5" customHeight="1" x14ac:dyDescent="0.15">
      <c r="B3" s="97" t="s">
        <v>0</v>
      </c>
      <c r="C3" s="2"/>
      <c r="U3" s="42"/>
      <c r="V3" s="140" t="s">
        <v>137</v>
      </c>
      <c r="AA3" s="15"/>
      <c r="AB3" s="16"/>
      <c r="AC3" s="319" t="s">
        <v>355</v>
      </c>
      <c r="AD3" s="324" t="s">
        <v>351</v>
      </c>
      <c r="AE3" s="295" t="s">
        <v>115</v>
      </c>
      <c r="AF3" s="326" t="s">
        <v>26</v>
      </c>
      <c r="AG3" s="295" t="s">
        <v>27</v>
      </c>
      <c r="AH3" s="319" t="s">
        <v>28</v>
      </c>
      <c r="AI3" s="295" t="s">
        <v>29</v>
      </c>
      <c r="AJ3" s="319" t="s">
        <v>30</v>
      </c>
      <c r="AK3" s="295" t="s">
        <v>31</v>
      </c>
    </row>
    <row r="4" spans="1:37" ht="13.5" customHeight="1" x14ac:dyDescent="0.15">
      <c r="B4" s="2"/>
      <c r="C4" s="2"/>
      <c r="U4" s="139"/>
      <c r="V4" s="140" t="s">
        <v>138</v>
      </c>
      <c r="AA4" s="15"/>
      <c r="AB4" s="16"/>
      <c r="AC4" s="320"/>
      <c r="AD4" s="325"/>
      <c r="AE4" s="296"/>
      <c r="AF4" s="327"/>
      <c r="AG4" s="296"/>
      <c r="AH4" s="320"/>
      <c r="AI4" s="296"/>
      <c r="AJ4" s="320"/>
      <c r="AK4" s="296"/>
    </row>
    <row r="5" spans="1:37" ht="13.5" customHeight="1" x14ac:dyDescent="0.15">
      <c r="C5" s="297"/>
      <c r="D5" s="298"/>
      <c r="E5" s="299" t="s">
        <v>349</v>
      </c>
      <c r="F5" s="299"/>
      <c r="G5" s="299"/>
      <c r="H5" s="299" t="s">
        <v>1</v>
      </c>
      <c r="I5" s="299"/>
      <c r="J5" s="299"/>
      <c r="K5" s="299"/>
      <c r="L5" s="299"/>
      <c r="M5" s="299"/>
      <c r="N5" s="299"/>
      <c r="O5" s="299" t="s">
        <v>2</v>
      </c>
      <c r="P5" s="299"/>
      <c r="Q5" s="299"/>
      <c r="R5" s="299"/>
      <c r="S5" s="299"/>
      <c r="T5" s="299"/>
      <c r="U5" s="299"/>
      <c r="V5" s="299" t="s">
        <v>350</v>
      </c>
      <c r="W5" s="299"/>
      <c r="X5" s="310"/>
      <c r="AA5" s="18"/>
      <c r="AB5" s="107"/>
      <c r="AC5" s="320"/>
      <c r="AD5" s="325"/>
      <c r="AE5" s="329"/>
      <c r="AF5" s="327"/>
      <c r="AG5" s="296"/>
      <c r="AH5" s="320"/>
      <c r="AI5" s="296"/>
      <c r="AJ5" s="320"/>
      <c r="AK5" s="296"/>
    </row>
    <row r="6" spans="1:37" ht="13.5" customHeight="1" x14ac:dyDescent="0.15">
      <c r="C6" s="292"/>
      <c r="D6" s="293"/>
      <c r="E6" s="311"/>
      <c r="F6" s="311"/>
      <c r="G6" s="311"/>
      <c r="H6" s="304" t="s">
        <v>3</v>
      </c>
      <c r="I6" s="304"/>
      <c r="J6" s="304"/>
      <c r="K6" s="304"/>
      <c r="L6" s="332">
        <v>0.4375</v>
      </c>
      <c r="M6" s="332"/>
      <c r="N6" s="332"/>
      <c r="O6" s="304" t="s">
        <v>3</v>
      </c>
      <c r="P6" s="304"/>
      <c r="Q6" s="304"/>
      <c r="R6" s="304"/>
      <c r="S6" s="332">
        <v>0.54166666666666663</v>
      </c>
      <c r="T6" s="332"/>
      <c r="U6" s="332"/>
      <c r="V6" s="311"/>
      <c r="W6" s="311"/>
      <c r="X6" s="345"/>
      <c r="AA6" s="316" t="s">
        <v>32</v>
      </c>
      <c r="AB6" s="272" t="s">
        <v>33</v>
      </c>
      <c r="AC6" s="266">
        <v>63</v>
      </c>
      <c r="AD6" s="268">
        <v>332</v>
      </c>
      <c r="AE6" s="269">
        <v>190</v>
      </c>
      <c r="AF6" s="266">
        <v>26</v>
      </c>
      <c r="AG6" s="48">
        <v>333</v>
      </c>
      <c r="AH6" s="266">
        <v>624</v>
      </c>
      <c r="AI6" s="48">
        <v>221</v>
      </c>
      <c r="AJ6" s="105">
        <v>950</v>
      </c>
      <c r="AK6" s="269">
        <v>155</v>
      </c>
    </row>
    <row r="7" spans="1:37" ht="13.5" customHeight="1" x14ac:dyDescent="0.15">
      <c r="C7" s="292"/>
      <c r="D7" s="293"/>
      <c r="E7" s="312"/>
      <c r="F7" s="312"/>
      <c r="G7" s="312"/>
      <c r="H7" s="304" t="s">
        <v>4</v>
      </c>
      <c r="I7" s="304"/>
      <c r="J7" s="304"/>
      <c r="K7" s="304"/>
      <c r="L7" s="332">
        <v>0.5</v>
      </c>
      <c r="M7" s="332"/>
      <c r="N7" s="332"/>
      <c r="O7" s="304" t="s">
        <v>5</v>
      </c>
      <c r="P7" s="304"/>
      <c r="Q7" s="304"/>
      <c r="R7" s="304"/>
      <c r="S7" s="332">
        <v>0.625</v>
      </c>
      <c r="T7" s="332"/>
      <c r="U7" s="332"/>
      <c r="V7" s="346"/>
      <c r="W7" s="346"/>
      <c r="X7" s="347"/>
      <c r="AA7" s="317"/>
      <c r="AB7" s="51" t="s">
        <v>80</v>
      </c>
      <c r="AC7" s="106">
        <f>AC6*0.5/86400</f>
        <v>3.6458333333333335E-4</v>
      </c>
      <c r="AD7" s="148">
        <f t="shared" ref="AD7:AK7" si="0">AD6*0.5/86400</f>
        <v>1.9212962962962964E-3</v>
      </c>
      <c r="AE7" s="44">
        <f t="shared" si="0"/>
        <v>1.0995370370370371E-3</v>
      </c>
      <c r="AF7" s="106">
        <f t="shared" si="0"/>
        <v>1.5046296296296297E-4</v>
      </c>
      <c r="AG7" s="148">
        <f t="shared" si="0"/>
        <v>1.9270833333333334E-3</v>
      </c>
      <c r="AH7" s="106">
        <f t="shared" si="0"/>
        <v>3.6111111111111109E-3</v>
      </c>
      <c r="AI7" s="148">
        <f t="shared" si="0"/>
        <v>1.2789351851851853E-3</v>
      </c>
      <c r="AJ7" s="106">
        <f t="shared" si="0"/>
        <v>5.4976851851851853E-3</v>
      </c>
      <c r="AK7" s="44">
        <f t="shared" si="0"/>
        <v>8.9699074074074073E-4</v>
      </c>
    </row>
    <row r="8" spans="1:37" ht="13.5" customHeight="1" x14ac:dyDescent="0.15">
      <c r="C8" s="292"/>
      <c r="D8" s="293"/>
      <c r="E8" s="294"/>
      <c r="F8" s="294"/>
      <c r="G8" s="294"/>
      <c r="H8" s="306"/>
      <c r="I8" s="306"/>
      <c r="J8" s="306"/>
      <c r="K8" s="307"/>
      <c r="L8" s="40"/>
      <c r="M8" s="40" t="s">
        <v>6</v>
      </c>
      <c r="N8" s="39"/>
      <c r="O8" s="306"/>
      <c r="P8" s="306"/>
      <c r="Q8" s="306"/>
      <c r="R8" s="307"/>
      <c r="S8" s="40"/>
      <c r="T8" s="40" t="s">
        <v>6</v>
      </c>
      <c r="U8" s="39"/>
      <c r="V8" s="306"/>
      <c r="W8" s="306"/>
      <c r="X8" s="333"/>
      <c r="AA8" s="317"/>
      <c r="AB8" s="108" t="s">
        <v>151</v>
      </c>
      <c r="AC8" s="106">
        <f>AC6*0.75/86400</f>
        <v>5.4687500000000005E-4</v>
      </c>
      <c r="AD8" s="148">
        <f t="shared" ref="AD8:AK8" si="1">AD6*0.75/86400</f>
        <v>2.8819444444444444E-3</v>
      </c>
      <c r="AE8" s="44">
        <f t="shared" si="1"/>
        <v>1.6493055555555556E-3</v>
      </c>
      <c r="AF8" s="106">
        <f t="shared" si="1"/>
        <v>2.2569444444444443E-4</v>
      </c>
      <c r="AG8" s="148">
        <f t="shared" si="1"/>
        <v>2.890625E-3</v>
      </c>
      <c r="AH8" s="106">
        <f t="shared" si="1"/>
        <v>5.4166666666666669E-3</v>
      </c>
      <c r="AI8" s="148">
        <f t="shared" si="1"/>
        <v>1.9184027777777778E-3</v>
      </c>
      <c r="AJ8" s="106">
        <f t="shared" si="1"/>
        <v>8.246527777777778E-3</v>
      </c>
      <c r="AK8" s="44">
        <f t="shared" si="1"/>
        <v>1.3454861111111111E-3</v>
      </c>
    </row>
    <row r="9" spans="1:37" ht="13.5" customHeight="1" x14ac:dyDescent="0.15">
      <c r="C9" s="292"/>
      <c r="D9" s="293"/>
      <c r="E9" s="294"/>
      <c r="F9" s="294"/>
      <c r="G9" s="294"/>
      <c r="H9" s="343"/>
      <c r="I9" s="343"/>
      <c r="J9" s="343"/>
      <c r="K9" s="343"/>
      <c r="L9" s="342">
        <f>IFERROR(B79*24*60,"")</f>
        <v>90</v>
      </c>
      <c r="M9" s="342"/>
      <c r="N9" s="3" t="s">
        <v>7</v>
      </c>
      <c r="O9" s="343"/>
      <c r="P9" s="343"/>
      <c r="Q9" s="343"/>
      <c r="R9" s="343"/>
      <c r="S9" s="341">
        <f>IFERROR(B80*24*60,"")</f>
        <v>120.00000000000006</v>
      </c>
      <c r="T9" s="341"/>
      <c r="U9" s="3" t="s">
        <v>7</v>
      </c>
      <c r="V9" s="343"/>
      <c r="W9" s="343"/>
      <c r="X9" s="344"/>
      <c r="AA9" s="317"/>
      <c r="AB9" s="51" t="s">
        <v>34</v>
      </c>
      <c r="AC9" s="106">
        <f t="shared" ref="AC9" si="2">AC6*1/86400</f>
        <v>7.291666666666667E-4</v>
      </c>
      <c r="AD9" s="148">
        <f t="shared" ref="AD9:AK9" si="3">AD6*1/86400</f>
        <v>3.8425925925925928E-3</v>
      </c>
      <c r="AE9" s="44">
        <f t="shared" si="3"/>
        <v>2.1990740740740742E-3</v>
      </c>
      <c r="AF9" s="106">
        <f t="shared" si="3"/>
        <v>3.0092592592592595E-4</v>
      </c>
      <c r="AG9" s="148">
        <f t="shared" si="3"/>
        <v>3.8541666666666668E-3</v>
      </c>
      <c r="AH9" s="106">
        <f t="shared" si="3"/>
        <v>7.2222222222222219E-3</v>
      </c>
      <c r="AI9" s="148">
        <f t="shared" si="3"/>
        <v>2.5578703703703705E-3</v>
      </c>
      <c r="AJ9" s="106">
        <f t="shared" si="3"/>
        <v>1.0995370370370371E-2</v>
      </c>
      <c r="AK9" s="44">
        <f t="shared" si="3"/>
        <v>1.7939814814814815E-3</v>
      </c>
    </row>
    <row r="10" spans="1:37" ht="13.5" customHeight="1" x14ac:dyDescent="0.15">
      <c r="C10" s="4"/>
      <c r="D10" s="5"/>
      <c r="E10" s="335"/>
      <c r="F10" s="335"/>
      <c r="G10" s="335"/>
      <c r="H10" s="336" t="s">
        <v>8</v>
      </c>
      <c r="I10" s="336"/>
      <c r="J10" s="336"/>
      <c r="K10" s="336"/>
      <c r="L10" s="336"/>
      <c r="M10" s="337" t="s">
        <v>9</v>
      </c>
      <c r="N10" s="338"/>
      <c r="O10" s="336" t="s">
        <v>8</v>
      </c>
      <c r="P10" s="336"/>
      <c r="Q10" s="336"/>
      <c r="R10" s="336"/>
      <c r="S10" s="336"/>
      <c r="T10" s="337" t="s">
        <v>9</v>
      </c>
      <c r="U10" s="338"/>
      <c r="V10" s="339"/>
      <c r="W10" s="339"/>
      <c r="X10" s="340"/>
      <c r="AA10" s="317"/>
      <c r="AB10" s="51" t="s">
        <v>152</v>
      </c>
      <c r="AC10" s="106">
        <f>AC6*1.25/86400</f>
        <v>9.1145833333333335E-4</v>
      </c>
      <c r="AD10" s="148">
        <f t="shared" ref="AD10:AK10" si="4">AD6*1.25/86400</f>
        <v>4.8032407407407407E-3</v>
      </c>
      <c r="AE10" s="44">
        <f t="shared" si="4"/>
        <v>2.7488425925925927E-3</v>
      </c>
      <c r="AF10" s="106">
        <f t="shared" si="4"/>
        <v>3.7615740740740741E-4</v>
      </c>
      <c r="AG10" s="148">
        <f t="shared" si="4"/>
        <v>4.8177083333333336E-3</v>
      </c>
      <c r="AH10" s="106">
        <f t="shared" si="4"/>
        <v>9.0277777777777769E-3</v>
      </c>
      <c r="AI10" s="148">
        <f t="shared" si="4"/>
        <v>3.197337962962963E-3</v>
      </c>
      <c r="AJ10" s="106">
        <f t="shared" si="4"/>
        <v>1.3744212962962963E-2</v>
      </c>
      <c r="AK10" s="44">
        <f t="shared" si="4"/>
        <v>2.2424768518518518E-3</v>
      </c>
    </row>
    <row r="11" spans="1:37" ht="13.5" customHeight="1" x14ac:dyDescent="0.15">
      <c r="C11" s="297" t="s">
        <v>10</v>
      </c>
      <c r="D11" s="298"/>
      <c r="E11" s="343"/>
      <c r="F11" s="343"/>
      <c r="G11" s="343"/>
      <c r="H11" s="334" t="s">
        <v>102</v>
      </c>
      <c r="I11" s="334"/>
      <c r="J11" s="334"/>
      <c r="K11" s="334"/>
      <c r="L11" s="334"/>
      <c r="M11" s="334"/>
      <c r="N11" s="61">
        <f>IFERROR(VLOOKUP(H11,プログラム設定に必要な行動,2,0),"")</f>
        <v>5</v>
      </c>
      <c r="O11" s="334" t="s">
        <v>39</v>
      </c>
      <c r="P11" s="334"/>
      <c r="Q11" s="334"/>
      <c r="R11" s="334"/>
      <c r="S11" s="334"/>
      <c r="T11" s="334"/>
      <c r="U11" s="63">
        <f>IFERROR(VLOOKUP(O11,プログラム設定に必要な行動,2,0),"")</f>
        <v>80</v>
      </c>
      <c r="V11" s="343"/>
      <c r="W11" s="343"/>
      <c r="X11" s="344"/>
      <c r="AA11" s="317"/>
      <c r="AB11" s="51" t="s">
        <v>35</v>
      </c>
      <c r="AC11" s="106">
        <f t="shared" ref="AC11" si="5">AC6*1.5/86400</f>
        <v>1.0937500000000001E-3</v>
      </c>
      <c r="AD11" s="148">
        <f t="shared" ref="AD11:AK11" si="6">AD6*1.5/86400</f>
        <v>5.7638888888888887E-3</v>
      </c>
      <c r="AE11" s="44">
        <f t="shared" si="6"/>
        <v>3.2986111111111111E-3</v>
      </c>
      <c r="AF11" s="106">
        <f t="shared" si="6"/>
        <v>4.5138888888888887E-4</v>
      </c>
      <c r="AG11" s="148">
        <f t="shared" si="6"/>
        <v>5.7812499999999999E-3</v>
      </c>
      <c r="AH11" s="106">
        <f t="shared" si="6"/>
        <v>1.0833333333333334E-2</v>
      </c>
      <c r="AI11" s="148">
        <f t="shared" si="6"/>
        <v>3.8368055555555555E-3</v>
      </c>
      <c r="AJ11" s="106">
        <f t="shared" si="6"/>
        <v>1.6493055555555556E-2</v>
      </c>
      <c r="AK11" s="44">
        <f t="shared" si="6"/>
        <v>2.6909722222222222E-3</v>
      </c>
    </row>
    <row r="12" spans="1:37" ht="13.5" customHeight="1" x14ac:dyDescent="0.15">
      <c r="C12" s="301" t="s">
        <v>235</v>
      </c>
      <c r="D12" s="302"/>
      <c r="E12" s="304"/>
      <c r="F12" s="304"/>
      <c r="G12" s="304"/>
      <c r="H12" s="334" t="s">
        <v>103</v>
      </c>
      <c r="I12" s="334"/>
      <c r="J12" s="334"/>
      <c r="K12" s="334"/>
      <c r="L12" s="334"/>
      <c r="M12" s="334"/>
      <c r="N12" s="62">
        <f>IFERROR(VLOOKUP(H12,プログラム設定に必要な行動,2,0),"")</f>
        <v>25</v>
      </c>
      <c r="O12" s="303" t="s">
        <v>11</v>
      </c>
      <c r="P12" s="303"/>
      <c r="Q12" s="303"/>
      <c r="R12" s="303"/>
      <c r="S12" s="303"/>
      <c r="T12" s="303"/>
      <c r="U12" s="64">
        <f>IFERROR(VLOOKUP(O12,プログラム設定に必要な行動,2,0),"")</f>
        <v>0</v>
      </c>
      <c r="V12" s="304"/>
      <c r="W12" s="304"/>
      <c r="X12" s="305"/>
      <c r="AA12" s="317"/>
      <c r="AB12" s="142" t="s">
        <v>153</v>
      </c>
      <c r="AC12" s="143">
        <f>AC6*1.75/86400</f>
        <v>1.2760416666666666E-3</v>
      </c>
      <c r="AD12" s="149">
        <f t="shared" ref="AD12:AK12" si="7">AD6*1.75/86400</f>
        <v>6.7245370370370367E-3</v>
      </c>
      <c r="AE12" s="144">
        <f t="shared" si="7"/>
        <v>3.8483796296296295E-3</v>
      </c>
      <c r="AF12" s="143">
        <f t="shared" si="7"/>
        <v>5.2662037037037033E-4</v>
      </c>
      <c r="AG12" s="149">
        <f t="shared" si="7"/>
        <v>6.7447916666666663E-3</v>
      </c>
      <c r="AH12" s="143">
        <f t="shared" si="7"/>
        <v>1.2638888888888889E-2</v>
      </c>
      <c r="AI12" s="149">
        <f t="shared" si="7"/>
        <v>4.4762731481481485E-3</v>
      </c>
      <c r="AJ12" s="143">
        <f t="shared" si="7"/>
        <v>1.9241898148148147E-2</v>
      </c>
      <c r="AK12" s="144">
        <f t="shared" si="7"/>
        <v>3.1394675925925926E-3</v>
      </c>
    </row>
    <row r="13" spans="1:37" ht="13.5" customHeight="1" x14ac:dyDescent="0.15">
      <c r="C13" s="301"/>
      <c r="D13" s="302"/>
      <c r="E13" s="304"/>
      <c r="F13" s="304"/>
      <c r="G13" s="304"/>
      <c r="H13" s="334" t="s">
        <v>11</v>
      </c>
      <c r="I13" s="334"/>
      <c r="J13" s="334"/>
      <c r="K13" s="334"/>
      <c r="L13" s="334"/>
      <c r="M13" s="334"/>
      <c r="N13" s="62">
        <f>IFERROR(VLOOKUP(H13,プログラム設定に必要な行動,2,0),"")</f>
        <v>0</v>
      </c>
      <c r="O13" s="303" t="s">
        <v>62</v>
      </c>
      <c r="P13" s="303"/>
      <c r="Q13" s="303"/>
      <c r="R13" s="303"/>
      <c r="S13" s="303"/>
      <c r="T13" s="303"/>
      <c r="U13" s="64">
        <f>IFERROR(VLOOKUP(O13,プログラム設定に必要な行動,2,0),"")</f>
        <v>0</v>
      </c>
      <c r="V13" s="304"/>
      <c r="W13" s="304"/>
      <c r="X13" s="305"/>
      <c r="AA13" s="318"/>
      <c r="AB13" s="52" t="s">
        <v>36</v>
      </c>
      <c r="AC13" s="109">
        <f>AC6*2/86400</f>
        <v>1.4583333333333334E-3</v>
      </c>
      <c r="AD13" s="150">
        <f t="shared" ref="AD13:AK13" si="8">AD6*2/86400</f>
        <v>7.6851851851851855E-3</v>
      </c>
      <c r="AE13" s="45">
        <f t="shared" si="8"/>
        <v>4.3981481481481484E-3</v>
      </c>
      <c r="AF13" s="109">
        <f t="shared" si="8"/>
        <v>6.018518518518519E-4</v>
      </c>
      <c r="AG13" s="150">
        <f t="shared" si="8"/>
        <v>7.7083333333333335E-3</v>
      </c>
      <c r="AH13" s="109">
        <f t="shared" si="8"/>
        <v>1.4444444444444444E-2</v>
      </c>
      <c r="AI13" s="150">
        <f t="shared" si="8"/>
        <v>5.115740740740741E-3</v>
      </c>
      <c r="AJ13" s="109">
        <f t="shared" si="8"/>
        <v>2.1990740740740741E-2</v>
      </c>
      <c r="AK13" s="45">
        <f t="shared" si="8"/>
        <v>3.5879629629629629E-3</v>
      </c>
    </row>
    <row r="14" spans="1:37" ht="13.5" customHeight="1" x14ac:dyDescent="0.15">
      <c r="C14" s="301"/>
      <c r="D14" s="302"/>
      <c r="E14" s="304"/>
      <c r="F14" s="304"/>
      <c r="G14" s="304"/>
      <c r="H14" s="334" t="s">
        <v>62</v>
      </c>
      <c r="I14" s="334"/>
      <c r="J14" s="334"/>
      <c r="K14" s="334"/>
      <c r="L14" s="334"/>
      <c r="M14" s="334"/>
      <c r="N14" s="62">
        <f>IFERROR(VLOOKUP(H14,プログラム設定に必要な行動,2,0),"")</f>
        <v>0</v>
      </c>
      <c r="O14" s="303" t="s">
        <v>62</v>
      </c>
      <c r="P14" s="303"/>
      <c r="Q14" s="303"/>
      <c r="R14" s="303"/>
      <c r="S14" s="303"/>
      <c r="T14" s="303"/>
      <c r="U14" s="64">
        <f>IFERROR(VLOOKUP(O14,プログラム設定に必要な行動,2,0),"")</f>
        <v>0</v>
      </c>
      <c r="V14" s="304"/>
      <c r="W14" s="304"/>
      <c r="X14" s="305"/>
      <c r="AA14" s="313" t="s">
        <v>37</v>
      </c>
      <c r="AB14" s="272" t="s">
        <v>33</v>
      </c>
      <c r="AC14" s="266">
        <v>70</v>
      </c>
      <c r="AD14" s="268">
        <v>276</v>
      </c>
      <c r="AE14" s="269">
        <v>277</v>
      </c>
      <c r="AF14" s="266">
        <v>30</v>
      </c>
      <c r="AG14" s="48">
        <v>373</v>
      </c>
      <c r="AH14" s="266">
        <v>627</v>
      </c>
      <c r="AI14" s="48">
        <v>390</v>
      </c>
      <c r="AJ14" s="105">
        <v>1295</v>
      </c>
      <c r="AK14" s="269">
        <v>171</v>
      </c>
    </row>
    <row r="15" spans="1:37" ht="13.5" customHeight="1" x14ac:dyDescent="0.15">
      <c r="C15" s="348" t="s">
        <v>251</v>
      </c>
      <c r="D15" s="349"/>
      <c r="E15" s="330"/>
      <c r="F15" s="330"/>
      <c r="G15" s="330"/>
      <c r="H15" s="350" t="s">
        <v>12</v>
      </c>
      <c r="I15" s="350"/>
      <c r="J15" s="350"/>
      <c r="K15" s="350"/>
      <c r="L15" s="350"/>
      <c r="M15" s="351">
        <f>IFERROR(L9-N11-N12-N13-N14,"")</f>
        <v>60</v>
      </c>
      <c r="N15" s="351"/>
      <c r="O15" s="350" t="s">
        <v>12</v>
      </c>
      <c r="P15" s="350"/>
      <c r="Q15" s="350"/>
      <c r="R15" s="350"/>
      <c r="S15" s="350"/>
      <c r="T15" s="351">
        <f>IFERROR(S9-U11-U12-U13-U14,"")</f>
        <v>40.000000000000057</v>
      </c>
      <c r="U15" s="351"/>
      <c r="V15" s="330"/>
      <c r="W15" s="330"/>
      <c r="X15" s="331"/>
      <c r="AA15" s="314"/>
      <c r="AB15" s="51" t="s">
        <v>80</v>
      </c>
      <c r="AC15" s="57">
        <f>AC14*0.5/86400</f>
        <v>4.0509259259259258E-4</v>
      </c>
      <c r="AD15" s="110">
        <f t="shared" ref="AD15:AK15" si="9">AD14*0.5/86400</f>
        <v>1.5972222222222223E-3</v>
      </c>
      <c r="AE15" s="46">
        <f t="shared" si="9"/>
        <v>1.6030092592592593E-3</v>
      </c>
      <c r="AF15" s="57">
        <f t="shared" si="9"/>
        <v>1.7361111111111112E-4</v>
      </c>
      <c r="AG15" s="110">
        <f t="shared" si="9"/>
        <v>2.158564814814815E-3</v>
      </c>
      <c r="AH15" s="57">
        <f t="shared" si="9"/>
        <v>3.6284722222222222E-3</v>
      </c>
      <c r="AI15" s="110">
        <f t="shared" si="9"/>
        <v>2.2569444444444442E-3</v>
      </c>
      <c r="AJ15" s="57">
        <f t="shared" si="9"/>
        <v>7.4942129629629629E-3</v>
      </c>
      <c r="AK15" s="46">
        <f t="shared" si="9"/>
        <v>9.8958333333333342E-4</v>
      </c>
    </row>
    <row r="16" spans="1:37" ht="13.5" customHeight="1" x14ac:dyDescent="0.15">
      <c r="C16" s="292" t="s">
        <v>13</v>
      </c>
      <c r="D16" s="293"/>
      <c r="E16" s="343"/>
      <c r="F16" s="343"/>
      <c r="G16" s="343"/>
      <c r="H16" s="334" t="s">
        <v>346</v>
      </c>
      <c r="I16" s="334"/>
      <c r="J16" s="334"/>
      <c r="K16" s="334"/>
      <c r="L16" s="334"/>
      <c r="M16" s="334"/>
      <c r="N16" s="61">
        <f>IFERROR(VLOOKUP(H16,プログラム設定に必要な行動,2,0),"")</f>
        <v>5</v>
      </c>
      <c r="O16" s="334" t="s">
        <v>18</v>
      </c>
      <c r="P16" s="334"/>
      <c r="Q16" s="334"/>
      <c r="R16" s="334"/>
      <c r="S16" s="334"/>
      <c r="T16" s="334"/>
      <c r="U16" s="63">
        <f>IFERROR(VLOOKUP(O16,プログラム設定に必要な行動,2,0),"")</f>
        <v>60</v>
      </c>
      <c r="V16" s="343"/>
      <c r="W16" s="343"/>
      <c r="X16" s="344"/>
      <c r="AA16" s="314"/>
      <c r="AB16" s="108" t="s">
        <v>151</v>
      </c>
      <c r="AC16" s="57">
        <f>AC14*0.75/86400</f>
        <v>6.076388888888889E-4</v>
      </c>
      <c r="AD16" s="110">
        <f t="shared" ref="AD16:AK16" si="10">AD14*0.75/86400</f>
        <v>2.3958333333333331E-3</v>
      </c>
      <c r="AE16" s="46">
        <f t="shared" si="10"/>
        <v>2.4045138888888888E-3</v>
      </c>
      <c r="AF16" s="57">
        <f t="shared" si="10"/>
        <v>2.6041666666666666E-4</v>
      </c>
      <c r="AG16" s="110">
        <f t="shared" si="10"/>
        <v>3.2378472222222223E-3</v>
      </c>
      <c r="AH16" s="57">
        <f t="shared" si="10"/>
        <v>5.4427083333333333E-3</v>
      </c>
      <c r="AI16" s="110">
        <f t="shared" si="10"/>
        <v>3.3854166666666668E-3</v>
      </c>
      <c r="AJ16" s="57">
        <f t="shared" si="10"/>
        <v>1.1241319444444444E-2</v>
      </c>
      <c r="AK16" s="46">
        <f t="shared" si="10"/>
        <v>1.484375E-3</v>
      </c>
    </row>
    <row r="17" spans="3:37" ht="13.5" customHeight="1" x14ac:dyDescent="0.15">
      <c r="C17" s="301" t="s">
        <v>236</v>
      </c>
      <c r="D17" s="302"/>
      <c r="E17" s="304"/>
      <c r="F17" s="304"/>
      <c r="G17" s="304"/>
      <c r="H17" s="303" t="s">
        <v>347</v>
      </c>
      <c r="I17" s="303"/>
      <c r="J17" s="303"/>
      <c r="K17" s="303"/>
      <c r="L17" s="303"/>
      <c r="M17" s="303"/>
      <c r="N17" s="62">
        <f>IFERROR(VLOOKUP(H17,プログラム設定に必要な行動,2,0),"")</f>
        <v>15</v>
      </c>
      <c r="O17" s="303" t="s">
        <v>11</v>
      </c>
      <c r="P17" s="303"/>
      <c r="Q17" s="303"/>
      <c r="R17" s="303"/>
      <c r="S17" s="303"/>
      <c r="T17" s="303"/>
      <c r="U17" s="64">
        <f>IFERROR(VLOOKUP(O17,プログラム設定に必要な行動,2,0),"")</f>
        <v>0</v>
      </c>
      <c r="V17" s="304"/>
      <c r="W17" s="304"/>
      <c r="X17" s="305"/>
      <c r="AA17" s="314"/>
      <c r="AB17" s="51" t="s">
        <v>34</v>
      </c>
      <c r="AC17" s="106">
        <f t="shared" ref="AC17" si="11">AC14*1/86400</f>
        <v>8.1018518518518516E-4</v>
      </c>
      <c r="AD17" s="148">
        <f t="shared" ref="AD17:AK17" si="12">AD14*1/86400</f>
        <v>3.1944444444444446E-3</v>
      </c>
      <c r="AE17" s="44">
        <f t="shared" si="12"/>
        <v>3.2060185185185186E-3</v>
      </c>
      <c r="AF17" s="106">
        <f t="shared" si="12"/>
        <v>3.4722222222222224E-4</v>
      </c>
      <c r="AG17" s="148">
        <f t="shared" si="12"/>
        <v>4.31712962962963E-3</v>
      </c>
      <c r="AH17" s="106">
        <f t="shared" si="12"/>
        <v>7.2569444444444443E-3</v>
      </c>
      <c r="AI17" s="148">
        <f t="shared" si="12"/>
        <v>4.5138888888888885E-3</v>
      </c>
      <c r="AJ17" s="106">
        <f t="shared" si="12"/>
        <v>1.4988425925925926E-2</v>
      </c>
      <c r="AK17" s="44">
        <f t="shared" si="12"/>
        <v>1.9791666666666668E-3</v>
      </c>
    </row>
    <row r="18" spans="3:37" ht="13.5" customHeight="1" x14ac:dyDescent="0.15">
      <c r="C18" s="301"/>
      <c r="D18" s="302"/>
      <c r="E18" s="304"/>
      <c r="F18" s="304"/>
      <c r="G18" s="304"/>
      <c r="H18" s="303" t="s">
        <v>62</v>
      </c>
      <c r="I18" s="303"/>
      <c r="J18" s="303"/>
      <c r="K18" s="303"/>
      <c r="L18" s="303"/>
      <c r="M18" s="303"/>
      <c r="N18" s="62">
        <f>IFERROR(VLOOKUP(H18,プログラム設定に必要な行動,2,0),"")</f>
        <v>0</v>
      </c>
      <c r="O18" s="303" t="s">
        <v>104</v>
      </c>
      <c r="P18" s="303"/>
      <c r="Q18" s="303"/>
      <c r="R18" s="303"/>
      <c r="S18" s="303"/>
      <c r="T18" s="303"/>
      <c r="U18" s="64">
        <f>IFERROR(VLOOKUP(O18,プログラム設定に必要な行動,2,0),"")</f>
        <v>5</v>
      </c>
      <c r="V18" s="304"/>
      <c r="W18" s="304"/>
      <c r="X18" s="305"/>
      <c r="AA18" s="314"/>
      <c r="AB18" s="51" t="s">
        <v>152</v>
      </c>
      <c r="AC18" s="106">
        <f>AC14*1.25/86400</f>
        <v>1.0127314814814814E-3</v>
      </c>
      <c r="AD18" s="148">
        <f t="shared" ref="AD18:AK18" si="13">AD14*1.25/86400</f>
        <v>3.9930555555555552E-3</v>
      </c>
      <c r="AE18" s="44">
        <f t="shared" si="13"/>
        <v>4.0075231481481481E-3</v>
      </c>
      <c r="AF18" s="106">
        <f t="shared" si="13"/>
        <v>4.3402777777777775E-4</v>
      </c>
      <c r="AG18" s="148">
        <f t="shared" si="13"/>
        <v>5.3964120370370372E-3</v>
      </c>
      <c r="AH18" s="106">
        <f t="shared" si="13"/>
        <v>9.0711805555555563E-3</v>
      </c>
      <c r="AI18" s="148">
        <f t="shared" si="13"/>
        <v>5.642361111111111E-3</v>
      </c>
      <c r="AJ18" s="106">
        <f t="shared" si="13"/>
        <v>1.8735532407407409E-2</v>
      </c>
      <c r="AK18" s="44">
        <f t="shared" si="13"/>
        <v>2.4739583333333332E-3</v>
      </c>
    </row>
    <row r="19" spans="3:37" ht="13.5" customHeight="1" x14ac:dyDescent="0.15">
      <c r="C19" s="301"/>
      <c r="D19" s="302"/>
      <c r="E19" s="304"/>
      <c r="F19" s="304"/>
      <c r="G19" s="304"/>
      <c r="H19" s="303" t="s">
        <v>62</v>
      </c>
      <c r="I19" s="303"/>
      <c r="J19" s="303"/>
      <c r="K19" s="303"/>
      <c r="L19" s="303"/>
      <c r="M19" s="303"/>
      <c r="N19" s="62">
        <f>IFERROR(VLOOKUP(H19,プログラム設定に必要な行動,2,0),"")</f>
        <v>0</v>
      </c>
      <c r="O19" s="303" t="s">
        <v>11</v>
      </c>
      <c r="P19" s="303"/>
      <c r="Q19" s="303"/>
      <c r="R19" s="303"/>
      <c r="S19" s="303"/>
      <c r="T19" s="303"/>
      <c r="U19" s="64">
        <f>IFERROR(VLOOKUP(O19,プログラム設定に必要な行動,2,0),"")</f>
        <v>0</v>
      </c>
      <c r="V19" s="304"/>
      <c r="W19" s="304"/>
      <c r="X19" s="305"/>
      <c r="AA19" s="314"/>
      <c r="AB19" s="51" t="s">
        <v>35</v>
      </c>
      <c r="AC19" s="106">
        <f t="shared" ref="AC19" si="14">AC14*1.5/86400</f>
        <v>1.2152777777777778E-3</v>
      </c>
      <c r="AD19" s="148">
        <f t="shared" ref="AD19:AK19" si="15">AD14*1.5/86400</f>
        <v>4.7916666666666663E-3</v>
      </c>
      <c r="AE19" s="44">
        <f t="shared" si="15"/>
        <v>4.8090277777777775E-3</v>
      </c>
      <c r="AF19" s="106">
        <f t="shared" si="15"/>
        <v>5.2083333333333333E-4</v>
      </c>
      <c r="AG19" s="148">
        <f t="shared" si="15"/>
        <v>6.4756944444444445E-3</v>
      </c>
      <c r="AH19" s="106">
        <f t="shared" si="15"/>
        <v>1.0885416666666667E-2</v>
      </c>
      <c r="AI19" s="148">
        <f t="shared" si="15"/>
        <v>6.7708333333333336E-3</v>
      </c>
      <c r="AJ19" s="106">
        <f t="shared" si="15"/>
        <v>2.2482638888888889E-2</v>
      </c>
      <c r="AK19" s="44">
        <f t="shared" si="15"/>
        <v>2.96875E-3</v>
      </c>
    </row>
    <row r="20" spans="3:37" ht="13.5" customHeight="1" x14ac:dyDescent="0.15">
      <c r="C20" s="352" t="s">
        <v>252</v>
      </c>
      <c r="D20" s="353"/>
      <c r="E20" s="330"/>
      <c r="F20" s="330"/>
      <c r="G20" s="330"/>
      <c r="H20" s="350" t="s">
        <v>12</v>
      </c>
      <c r="I20" s="350"/>
      <c r="J20" s="350"/>
      <c r="K20" s="350"/>
      <c r="L20" s="350"/>
      <c r="M20" s="351">
        <f>IFERROR(L9-N16-N17-N18-N19,"")</f>
        <v>70</v>
      </c>
      <c r="N20" s="351"/>
      <c r="O20" s="350" t="s">
        <v>12</v>
      </c>
      <c r="P20" s="350"/>
      <c r="Q20" s="350"/>
      <c r="R20" s="350"/>
      <c r="S20" s="350"/>
      <c r="T20" s="351">
        <f>IFERROR(S9-U16-U17-U18-U19,"")</f>
        <v>55.000000000000057</v>
      </c>
      <c r="U20" s="351"/>
      <c r="V20" s="330"/>
      <c r="W20" s="330"/>
      <c r="X20" s="331"/>
      <c r="AA20" s="314"/>
      <c r="AB20" s="142" t="s">
        <v>153</v>
      </c>
      <c r="AC20" s="143">
        <f>AC14*1.75/86400</f>
        <v>1.4178240740740742E-3</v>
      </c>
      <c r="AD20" s="149">
        <f t="shared" ref="AD20:AK20" si="16">AD14*1.75/86400</f>
        <v>5.5902777777777773E-3</v>
      </c>
      <c r="AE20" s="144">
        <f t="shared" si="16"/>
        <v>5.6105324074074078E-3</v>
      </c>
      <c r="AF20" s="143">
        <f t="shared" si="16"/>
        <v>6.076388888888889E-4</v>
      </c>
      <c r="AG20" s="149">
        <f t="shared" si="16"/>
        <v>7.5549768518518518E-3</v>
      </c>
      <c r="AH20" s="143">
        <f t="shared" si="16"/>
        <v>1.2699652777777778E-2</v>
      </c>
      <c r="AI20" s="149">
        <f t="shared" si="16"/>
        <v>7.8993055555555552E-3</v>
      </c>
      <c r="AJ20" s="143">
        <f t="shared" si="16"/>
        <v>2.6229745370370372E-2</v>
      </c>
      <c r="AK20" s="144">
        <f t="shared" si="16"/>
        <v>3.4635416666666669E-3</v>
      </c>
    </row>
    <row r="21" spans="3:37" ht="13.5" customHeight="1" x14ac:dyDescent="0.15">
      <c r="C21" s="292" t="s">
        <v>15</v>
      </c>
      <c r="D21" s="293"/>
      <c r="E21" s="343"/>
      <c r="F21" s="343"/>
      <c r="G21" s="343"/>
      <c r="H21" s="334" t="s">
        <v>352</v>
      </c>
      <c r="I21" s="334"/>
      <c r="J21" s="334"/>
      <c r="K21" s="334"/>
      <c r="L21" s="334"/>
      <c r="M21" s="334"/>
      <c r="N21" s="61">
        <f>IFERROR(VLOOKUP(H21,プログラム設定に必要な行動,2,0),"")</f>
        <v>10</v>
      </c>
      <c r="O21" s="334" t="s">
        <v>352</v>
      </c>
      <c r="P21" s="334"/>
      <c r="Q21" s="334"/>
      <c r="R21" s="334"/>
      <c r="S21" s="334"/>
      <c r="T21" s="334"/>
      <c r="U21" s="63">
        <f>IFERROR(VLOOKUP(O21,プログラム設定に必要な行動,2,0),"")</f>
        <v>10</v>
      </c>
      <c r="V21" s="343"/>
      <c r="W21" s="343"/>
      <c r="X21" s="344"/>
      <c r="AA21" s="315"/>
      <c r="AB21" s="52" t="s">
        <v>36</v>
      </c>
      <c r="AC21" s="109">
        <f>AC14*2/86400</f>
        <v>1.6203703703703703E-3</v>
      </c>
      <c r="AD21" s="150">
        <f t="shared" ref="AD21:AK21" si="17">AD14*2/86400</f>
        <v>6.3888888888888893E-3</v>
      </c>
      <c r="AE21" s="45">
        <f t="shared" si="17"/>
        <v>6.4120370370370373E-3</v>
      </c>
      <c r="AF21" s="109">
        <f t="shared" si="17"/>
        <v>6.9444444444444447E-4</v>
      </c>
      <c r="AG21" s="150">
        <f t="shared" si="17"/>
        <v>8.6342592592592599E-3</v>
      </c>
      <c r="AH21" s="109">
        <f t="shared" si="17"/>
        <v>1.4513888888888889E-2</v>
      </c>
      <c r="AI21" s="150">
        <f t="shared" si="17"/>
        <v>9.0277777777777769E-3</v>
      </c>
      <c r="AJ21" s="109">
        <f t="shared" si="17"/>
        <v>2.9976851851851852E-2</v>
      </c>
      <c r="AK21" s="45">
        <f t="shared" si="17"/>
        <v>3.9583333333333337E-3</v>
      </c>
    </row>
    <row r="22" spans="3:37" ht="13.5" customHeight="1" x14ac:dyDescent="0.15">
      <c r="C22" s="301" t="s">
        <v>237</v>
      </c>
      <c r="D22" s="302"/>
      <c r="E22" s="304"/>
      <c r="F22" s="304"/>
      <c r="G22" s="304"/>
      <c r="H22" s="303" t="s">
        <v>11</v>
      </c>
      <c r="I22" s="303"/>
      <c r="J22" s="303"/>
      <c r="K22" s="303"/>
      <c r="L22" s="303"/>
      <c r="M22" s="303"/>
      <c r="N22" s="62">
        <f>IFERROR(VLOOKUP(H22,プログラム設定に必要な行動,2,0),"")</f>
        <v>0</v>
      </c>
      <c r="O22" s="303" t="s">
        <v>11</v>
      </c>
      <c r="P22" s="303"/>
      <c r="Q22" s="303"/>
      <c r="R22" s="303"/>
      <c r="S22" s="303"/>
      <c r="T22" s="303"/>
      <c r="U22" s="64">
        <f>IFERROR(VLOOKUP(O22,プログラム設定に必要な行動,2,0),"")</f>
        <v>0</v>
      </c>
      <c r="V22" s="304"/>
      <c r="W22" s="304"/>
      <c r="X22" s="305"/>
      <c r="AA22" s="313" t="s">
        <v>38</v>
      </c>
      <c r="AB22" s="272" t="s">
        <v>33</v>
      </c>
      <c r="AC22" s="266">
        <v>74</v>
      </c>
      <c r="AD22" s="268">
        <v>387</v>
      </c>
      <c r="AE22" s="269">
        <v>397</v>
      </c>
      <c r="AF22" s="266">
        <v>36</v>
      </c>
      <c r="AG22" s="48">
        <v>507</v>
      </c>
      <c r="AH22" s="266">
        <v>683</v>
      </c>
      <c r="AI22" s="48">
        <v>365</v>
      </c>
      <c r="AJ22" s="105">
        <v>1357</v>
      </c>
      <c r="AK22" s="269">
        <v>232</v>
      </c>
    </row>
    <row r="23" spans="3:37" ht="13.5" customHeight="1" x14ac:dyDescent="0.15">
      <c r="C23" s="301"/>
      <c r="D23" s="302"/>
      <c r="E23" s="304"/>
      <c r="F23" s="304"/>
      <c r="G23" s="304"/>
      <c r="H23" s="303" t="s">
        <v>104</v>
      </c>
      <c r="I23" s="303"/>
      <c r="J23" s="303"/>
      <c r="K23" s="303"/>
      <c r="L23" s="303"/>
      <c r="M23" s="303"/>
      <c r="N23" s="62">
        <f>IFERROR(VLOOKUP(H23,プログラム設定に必要な行動,2,0),"")</f>
        <v>5</v>
      </c>
      <c r="O23" s="303" t="s">
        <v>104</v>
      </c>
      <c r="P23" s="303"/>
      <c r="Q23" s="303"/>
      <c r="R23" s="303"/>
      <c r="S23" s="303"/>
      <c r="T23" s="303"/>
      <c r="U23" s="64">
        <f>IFERROR(VLOOKUP(O23,プログラム設定に必要な行動,2,0),"")</f>
        <v>5</v>
      </c>
      <c r="V23" s="304"/>
      <c r="W23" s="304"/>
      <c r="X23" s="305"/>
      <c r="AA23" s="314"/>
      <c r="AB23" s="51" t="s">
        <v>80</v>
      </c>
      <c r="AC23" s="57">
        <f>AC22*0.5/86400</f>
        <v>4.2824074074074075E-4</v>
      </c>
      <c r="AD23" s="110">
        <f t="shared" ref="AD23:AK23" si="18">AD22*0.5/86400</f>
        <v>2.2395833333333334E-3</v>
      </c>
      <c r="AE23" s="46">
        <f t="shared" si="18"/>
        <v>2.2974537037037039E-3</v>
      </c>
      <c r="AF23" s="57">
        <f t="shared" si="18"/>
        <v>2.0833333333333335E-4</v>
      </c>
      <c r="AG23" s="110">
        <f t="shared" si="18"/>
        <v>2.9340277777777776E-3</v>
      </c>
      <c r="AH23" s="57">
        <f t="shared" si="18"/>
        <v>3.952546296296296E-3</v>
      </c>
      <c r="AI23" s="110">
        <f t="shared" si="18"/>
        <v>2.1122685185185185E-3</v>
      </c>
      <c r="AJ23" s="57">
        <f t="shared" si="18"/>
        <v>7.8530092592592592E-3</v>
      </c>
      <c r="AK23" s="46">
        <f t="shared" si="18"/>
        <v>1.3425925925925925E-3</v>
      </c>
    </row>
    <row r="24" spans="3:37" ht="13.5" customHeight="1" x14ac:dyDescent="0.15">
      <c r="C24" s="301"/>
      <c r="D24" s="302"/>
      <c r="E24" s="304"/>
      <c r="F24" s="304"/>
      <c r="G24" s="304"/>
      <c r="H24" s="303" t="s">
        <v>11</v>
      </c>
      <c r="I24" s="303"/>
      <c r="J24" s="303"/>
      <c r="K24" s="303"/>
      <c r="L24" s="303"/>
      <c r="M24" s="303"/>
      <c r="N24" s="62">
        <f>IFERROR(VLOOKUP(H24,プログラム設定に必要な行動,2,0),"")</f>
        <v>0</v>
      </c>
      <c r="O24" s="303" t="s">
        <v>11</v>
      </c>
      <c r="P24" s="303"/>
      <c r="Q24" s="303"/>
      <c r="R24" s="303"/>
      <c r="S24" s="303"/>
      <c r="T24" s="303"/>
      <c r="U24" s="64">
        <f>IFERROR(VLOOKUP(O24,プログラム設定に必要な行動,2,0),"")</f>
        <v>0</v>
      </c>
      <c r="V24" s="304"/>
      <c r="W24" s="304"/>
      <c r="X24" s="305"/>
      <c r="AA24" s="314"/>
      <c r="AB24" s="108" t="s">
        <v>151</v>
      </c>
      <c r="AC24" s="57">
        <f>AC22*0.75/86400</f>
        <v>6.4236111111111113E-4</v>
      </c>
      <c r="AD24" s="110">
        <f t="shared" ref="AD24:AK24" si="19">AD22*0.75/86400</f>
        <v>3.3593749999999999E-3</v>
      </c>
      <c r="AE24" s="46">
        <f t="shared" si="19"/>
        <v>3.4461805555555556E-3</v>
      </c>
      <c r="AF24" s="57">
        <f t="shared" si="19"/>
        <v>3.1250000000000001E-4</v>
      </c>
      <c r="AG24" s="110">
        <f t="shared" si="19"/>
        <v>4.4010416666666668E-3</v>
      </c>
      <c r="AH24" s="57">
        <f t="shared" si="19"/>
        <v>5.928819444444444E-3</v>
      </c>
      <c r="AI24" s="110">
        <f t="shared" si="19"/>
        <v>3.1684027777777778E-3</v>
      </c>
      <c r="AJ24" s="57">
        <f t="shared" si="19"/>
        <v>1.177951388888889E-2</v>
      </c>
      <c r="AK24" s="46">
        <f t="shared" si="19"/>
        <v>2.0138888888888888E-3</v>
      </c>
    </row>
    <row r="25" spans="3:37" ht="13.5" customHeight="1" x14ac:dyDescent="0.15">
      <c r="C25" s="352" t="s">
        <v>253</v>
      </c>
      <c r="D25" s="353"/>
      <c r="E25" s="330"/>
      <c r="F25" s="330"/>
      <c r="G25" s="330"/>
      <c r="H25" s="350" t="s">
        <v>12</v>
      </c>
      <c r="I25" s="350"/>
      <c r="J25" s="350"/>
      <c r="K25" s="350"/>
      <c r="L25" s="350"/>
      <c r="M25" s="351">
        <f>IFERROR(L9-N21-N22-N23-N24,"")</f>
        <v>75</v>
      </c>
      <c r="N25" s="351"/>
      <c r="O25" s="350" t="s">
        <v>12</v>
      </c>
      <c r="P25" s="350"/>
      <c r="Q25" s="350"/>
      <c r="R25" s="350"/>
      <c r="S25" s="350"/>
      <c r="T25" s="351">
        <f>IFERROR(S9-U21-U22-U23-U24,"")</f>
        <v>105.00000000000006</v>
      </c>
      <c r="U25" s="351"/>
      <c r="V25" s="330"/>
      <c r="W25" s="330"/>
      <c r="X25" s="331"/>
      <c r="AA25" s="314"/>
      <c r="AB25" s="51" t="s">
        <v>34</v>
      </c>
      <c r="AC25" s="57">
        <f t="shared" ref="AC25" si="20">AC22*1/86400</f>
        <v>8.564814814814815E-4</v>
      </c>
      <c r="AD25" s="110">
        <f t="shared" ref="AD25:AK25" si="21">AD22*1/86400</f>
        <v>4.4791666666666669E-3</v>
      </c>
      <c r="AE25" s="46">
        <f t="shared" si="21"/>
        <v>4.5949074074074078E-3</v>
      </c>
      <c r="AF25" s="57">
        <f t="shared" si="21"/>
        <v>4.1666666666666669E-4</v>
      </c>
      <c r="AG25" s="110">
        <f t="shared" si="21"/>
        <v>5.8680555555555552E-3</v>
      </c>
      <c r="AH25" s="57">
        <f t="shared" si="21"/>
        <v>7.905092592592592E-3</v>
      </c>
      <c r="AI25" s="110">
        <f t="shared" si="21"/>
        <v>4.2245370370370371E-3</v>
      </c>
      <c r="AJ25" s="57">
        <f t="shared" si="21"/>
        <v>1.5706018518518518E-2</v>
      </c>
      <c r="AK25" s="46">
        <f t="shared" si="21"/>
        <v>2.685185185185185E-3</v>
      </c>
    </row>
    <row r="26" spans="3:37" ht="13.5" customHeight="1" x14ac:dyDescent="0.15">
      <c r="C26" s="292" t="s">
        <v>17</v>
      </c>
      <c r="D26" s="293"/>
      <c r="E26" s="343"/>
      <c r="F26" s="343"/>
      <c r="G26" s="343"/>
      <c r="H26" s="334" t="s">
        <v>352</v>
      </c>
      <c r="I26" s="334"/>
      <c r="J26" s="334"/>
      <c r="K26" s="334"/>
      <c r="L26" s="334"/>
      <c r="M26" s="334"/>
      <c r="N26" s="61">
        <f>IFERROR(VLOOKUP(H26,プログラム設定に必要な行動,2,0),"")</f>
        <v>10</v>
      </c>
      <c r="O26" s="334" t="s">
        <v>39</v>
      </c>
      <c r="P26" s="334"/>
      <c r="Q26" s="334"/>
      <c r="R26" s="334"/>
      <c r="S26" s="334"/>
      <c r="T26" s="334"/>
      <c r="U26" s="63">
        <f>IFERROR(VLOOKUP(O26,プログラム設定に必要な行動,2,0),"")</f>
        <v>80</v>
      </c>
      <c r="V26" s="343"/>
      <c r="W26" s="343"/>
      <c r="X26" s="344"/>
      <c r="AA26" s="314"/>
      <c r="AB26" s="51" t="s">
        <v>152</v>
      </c>
      <c r="AC26" s="57">
        <f>AC22*1.25/86400</f>
        <v>1.0706018518518519E-3</v>
      </c>
      <c r="AD26" s="110">
        <f t="shared" ref="AD26:AK26" si="22">AD22*1.25/86400</f>
        <v>5.5989583333333334E-3</v>
      </c>
      <c r="AE26" s="46">
        <f t="shared" si="22"/>
        <v>5.7436342592592591E-3</v>
      </c>
      <c r="AF26" s="57">
        <f t="shared" si="22"/>
        <v>5.2083333333333333E-4</v>
      </c>
      <c r="AG26" s="110">
        <f t="shared" si="22"/>
        <v>7.3350694444444444E-3</v>
      </c>
      <c r="AH26" s="57">
        <f t="shared" si="22"/>
        <v>9.8813657407407409E-3</v>
      </c>
      <c r="AI26" s="110">
        <f t="shared" si="22"/>
        <v>5.2806712962962963E-3</v>
      </c>
      <c r="AJ26" s="57">
        <f t="shared" si="22"/>
        <v>1.9632523148148149E-2</v>
      </c>
      <c r="AK26" s="46">
        <f t="shared" si="22"/>
        <v>3.3564814814814816E-3</v>
      </c>
    </row>
    <row r="27" spans="3:37" ht="13.5" customHeight="1" x14ac:dyDescent="0.15">
      <c r="C27" s="301" t="s">
        <v>249</v>
      </c>
      <c r="D27" s="302"/>
      <c r="E27" s="304"/>
      <c r="F27" s="304"/>
      <c r="G27" s="304"/>
      <c r="H27" s="303" t="s">
        <v>11</v>
      </c>
      <c r="I27" s="303"/>
      <c r="J27" s="303"/>
      <c r="K27" s="303"/>
      <c r="L27" s="303"/>
      <c r="M27" s="303"/>
      <c r="N27" s="62">
        <f>IFERROR(VLOOKUP(H27,プログラム設定に必要な行動,2,0),"")</f>
        <v>0</v>
      </c>
      <c r="O27" s="303" t="s">
        <v>11</v>
      </c>
      <c r="P27" s="303"/>
      <c r="Q27" s="303"/>
      <c r="R27" s="303"/>
      <c r="S27" s="303"/>
      <c r="T27" s="303"/>
      <c r="U27" s="64">
        <f>IFERROR(VLOOKUP(O27,プログラム設定に必要な行動,2,0),"")</f>
        <v>0</v>
      </c>
      <c r="V27" s="304"/>
      <c r="W27" s="304"/>
      <c r="X27" s="305"/>
      <c r="AA27" s="314"/>
      <c r="AB27" s="51" t="s">
        <v>35</v>
      </c>
      <c r="AC27" s="57">
        <f t="shared" ref="AC27" si="23">AC22*1.5/86400</f>
        <v>1.2847222222222223E-3</v>
      </c>
      <c r="AD27" s="110">
        <f t="shared" ref="AD27:AK27" si="24">AD22*1.5/86400</f>
        <v>6.7187499999999999E-3</v>
      </c>
      <c r="AE27" s="46">
        <f t="shared" si="24"/>
        <v>6.8923611111111113E-3</v>
      </c>
      <c r="AF27" s="57">
        <f t="shared" si="24"/>
        <v>6.2500000000000001E-4</v>
      </c>
      <c r="AG27" s="110">
        <f t="shared" si="24"/>
        <v>8.8020833333333336E-3</v>
      </c>
      <c r="AH27" s="57">
        <f t="shared" si="24"/>
        <v>1.1857638888888888E-2</v>
      </c>
      <c r="AI27" s="110">
        <f t="shared" si="24"/>
        <v>6.3368055555555556E-3</v>
      </c>
      <c r="AJ27" s="57">
        <f t="shared" si="24"/>
        <v>2.3559027777777779E-2</v>
      </c>
      <c r="AK27" s="46">
        <f t="shared" si="24"/>
        <v>4.0277777777777777E-3</v>
      </c>
    </row>
    <row r="28" spans="3:37" ht="13.5" customHeight="1" x14ac:dyDescent="0.15">
      <c r="C28" s="301"/>
      <c r="D28" s="302"/>
      <c r="E28" s="304"/>
      <c r="F28" s="304"/>
      <c r="G28" s="304"/>
      <c r="H28" s="303" t="s">
        <v>104</v>
      </c>
      <c r="I28" s="303"/>
      <c r="J28" s="303"/>
      <c r="K28" s="303"/>
      <c r="L28" s="303"/>
      <c r="M28" s="303"/>
      <c r="N28" s="62">
        <f>IFERROR(VLOOKUP(H28,プログラム設定に必要な行動,2,0),"")</f>
        <v>5</v>
      </c>
      <c r="O28" s="303" t="s">
        <v>62</v>
      </c>
      <c r="P28" s="303"/>
      <c r="Q28" s="303"/>
      <c r="R28" s="303"/>
      <c r="S28" s="303"/>
      <c r="T28" s="303"/>
      <c r="U28" s="64">
        <f>IFERROR(VLOOKUP(O28,プログラム設定に必要な行動,2,0),"")</f>
        <v>0</v>
      </c>
      <c r="V28" s="304"/>
      <c r="W28" s="304"/>
      <c r="X28" s="305"/>
      <c r="AA28" s="314"/>
      <c r="AB28" s="142" t="s">
        <v>153</v>
      </c>
      <c r="AC28" s="145">
        <f>AC22*1.75/86400</f>
        <v>1.4988425925925926E-3</v>
      </c>
      <c r="AD28" s="146">
        <f t="shared" ref="AD28:AK28" si="25">AD22*1.75/86400</f>
        <v>7.8385416666666673E-3</v>
      </c>
      <c r="AE28" s="47">
        <f t="shared" si="25"/>
        <v>8.0410879629629634E-3</v>
      </c>
      <c r="AF28" s="145">
        <f t="shared" si="25"/>
        <v>7.291666666666667E-4</v>
      </c>
      <c r="AG28" s="146">
        <f t="shared" si="25"/>
        <v>1.0269097222222223E-2</v>
      </c>
      <c r="AH28" s="145">
        <f t="shared" si="25"/>
        <v>1.3833912037037037E-2</v>
      </c>
      <c r="AI28" s="146">
        <f t="shared" si="25"/>
        <v>7.3929398148148149E-3</v>
      </c>
      <c r="AJ28" s="145">
        <f t="shared" si="25"/>
        <v>2.7485532407407406E-2</v>
      </c>
      <c r="AK28" s="47">
        <f t="shared" si="25"/>
        <v>4.6990740740740743E-3</v>
      </c>
    </row>
    <row r="29" spans="3:37" ht="13.5" customHeight="1" x14ac:dyDescent="0.15">
      <c r="C29" s="301"/>
      <c r="D29" s="302"/>
      <c r="E29" s="304"/>
      <c r="F29" s="304"/>
      <c r="G29" s="304"/>
      <c r="H29" s="303" t="s">
        <v>11</v>
      </c>
      <c r="I29" s="303"/>
      <c r="J29" s="303"/>
      <c r="K29" s="303"/>
      <c r="L29" s="303"/>
      <c r="M29" s="303"/>
      <c r="N29" s="62">
        <f>IFERROR(VLOOKUP(H29,プログラム設定に必要な行動,2,0),"")</f>
        <v>0</v>
      </c>
      <c r="O29" s="303" t="s">
        <v>62</v>
      </c>
      <c r="P29" s="303"/>
      <c r="Q29" s="303"/>
      <c r="R29" s="303"/>
      <c r="S29" s="303"/>
      <c r="T29" s="303"/>
      <c r="U29" s="64">
        <f>IFERROR(VLOOKUP(O29,プログラム設定に必要な行動,2,0),"")</f>
        <v>0</v>
      </c>
      <c r="V29" s="304"/>
      <c r="W29" s="304"/>
      <c r="X29" s="305"/>
      <c r="AA29" s="315"/>
      <c r="AB29" s="52" t="s">
        <v>36</v>
      </c>
      <c r="AC29" s="58">
        <f>AC22*2/86400</f>
        <v>1.712962962962963E-3</v>
      </c>
      <c r="AD29" s="111">
        <f t="shared" ref="AD29:AK29" si="26">AD22*2/86400</f>
        <v>8.9583333333333338E-3</v>
      </c>
      <c r="AE29" s="49">
        <f t="shared" si="26"/>
        <v>9.1898148148148156E-3</v>
      </c>
      <c r="AF29" s="58">
        <f t="shared" si="26"/>
        <v>8.3333333333333339E-4</v>
      </c>
      <c r="AG29" s="111">
        <f t="shared" si="26"/>
        <v>1.173611111111111E-2</v>
      </c>
      <c r="AH29" s="58">
        <f t="shared" si="26"/>
        <v>1.5810185185185184E-2</v>
      </c>
      <c r="AI29" s="111">
        <f t="shared" si="26"/>
        <v>8.4490740740740741E-3</v>
      </c>
      <c r="AJ29" s="58">
        <f t="shared" si="26"/>
        <v>3.1412037037037037E-2</v>
      </c>
      <c r="AK29" s="49">
        <f t="shared" si="26"/>
        <v>5.37037037037037E-3</v>
      </c>
    </row>
    <row r="30" spans="3:37" ht="13.5" customHeight="1" x14ac:dyDescent="0.15">
      <c r="C30" s="352" t="s">
        <v>254</v>
      </c>
      <c r="D30" s="353"/>
      <c r="E30" s="330"/>
      <c r="F30" s="330"/>
      <c r="G30" s="330"/>
      <c r="H30" s="350" t="s">
        <v>12</v>
      </c>
      <c r="I30" s="350"/>
      <c r="J30" s="350"/>
      <c r="K30" s="350"/>
      <c r="L30" s="350"/>
      <c r="M30" s="351">
        <f>IFERROR(L9-N26-N27-N28-N29,"")</f>
        <v>75</v>
      </c>
      <c r="N30" s="351"/>
      <c r="O30" s="350" t="s">
        <v>12</v>
      </c>
      <c r="P30" s="350"/>
      <c r="Q30" s="350"/>
      <c r="R30" s="350"/>
      <c r="S30" s="350"/>
      <c r="T30" s="351">
        <f>IFERROR(S9-U26-U27-U28-U29,"")</f>
        <v>40.000000000000057</v>
      </c>
      <c r="U30" s="351"/>
      <c r="V30" s="330"/>
      <c r="W30" s="330"/>
      <c r="X30" s="331"/>
      <c r="AA30" s="313" t="s">
        <v>40</v>
      </c>
      <c r="AB30" s="272" t="s">
        <v>33</v>
      </c>
      <c r="AC30" s="266">
        <v>60</v>
      </c>
      <c r="AD30" s="268">
        <v>631</v>
      </c>
      <c r="AE30" s="269">
        <v>573</v>
      </c>
      <c r="AF30" s="266">
        <v>37</v>
      </c>
      <c r="AG30" s="48">
        <v>617</v>
      </c>
      <c r="AH30" s="266">
        <v>707</v>
      </c>
      <c r="AI30" s="48">
        <v>567</v>
      </c>
      <c r="AJ30" s="105">
        <v>1905</v>
      </c>
      <c r="AK30" s="269">
        <v>244</v>
      </c>
    </row>
    <row r="31" spans="3:37" ht="13.5" customHeight="1" x14ac:dyDescent="0.15">
      <c r="C31" s="433" t="s">
        <v>106</v>
      </c>
      <c r="D31" s="293"/>
      <c r="E31" s="343"/>
      <c r="F31" s="343"/>
      <c r="G31" s="343"/>
      <c r="H31" s="334" t="s">
        <v>352</v>
      </c>
      <c r="I31" s="334"/>
      <c r="J31" s="334"/>
      <c r="K31" s="334"/>
      <c r="L31" s="334"/>
      <c r="M31" s="334"/>
      <c r="N31" s="61">
        <f>IFERROR(VLOOKUP(H31,プログラム設定に必要な行動,2,0),"")</f>
        <v>10</v>
      </c>
      <c r="O31" s="334" t="s">
        <v>18</v>
      </c>
      <c r="P31" s="334"/>
      <c r="Q31" s="334"/>
      <c r="R31" s="334"/>
      <c r="S31" s="334"/>
      <c r="T31" s="334"/>
      <c r="U31" s="63">
        <f>IFERROR(VLOOKUP(O31,プログラム設定に必要な行動,2,0),"")</f>
        <v>60</v>
      </c>
      <c r="V31" s="343"/>
      <c r="W31" s="343"/>
      <c r="X31" s="344"/>
      <c r="AA31" s="314"/>
      <c r="AB31" s="51" t="s">
        <v>80</v>
      </c>
      <c r="AC31" s="57">
        <f>AC30*0.5/86400</f>
        <v>3.4722222222222224E-4</v>
      </c>
      <c r="AD31" s="110">
        <f t="shared" ref="AD31:AK31" si="27">AD30*0.5/86400</f>
        <v>3.6516203703703702E-3</v>
      </c>
      <c r="AE31" s="46">
        <f t="shared" si="27"/>
        <v>3.3159722222222223E-3</v>
      </c>
      <c r="AF31" s="57">
        <f t="shared" si="27"/>
        <v>2.1412037037037038E-4</v>
      </c>
      <c r="AG31" s="110">
        <f t="shared" si="27"/>
        <v>3.5706018518518517E-3</v>
      </c>
      <c r="AH31" s="57">
        <f t="shared" si="27"/>
        <v>4.0914351851851849E-3</v>
      </c>
      <c r="AI31" s="110">
        <f t="shared" si="27"/>
        <v>3.2812499999999999E-3</v>
      </c>
      <c r="AJ31" s="57">
        <f t="shared" si="27"/>
        <v>1.1024305555555556E-2</v>
      </c>
      <c r="AK31" s="46">
        <f t="shared" si="27"/>
        <v>1.4120370370370369E-3</v>
      </c>
    </row>
    <row r="32" spans="3:37" ht="13.5" customHeight="1" x14ac:dyDescent="0.15">
      <c r="C32" s="301" t="s">
        <v>250</v>
      </c>
      <c r="D32" s="302"/>
      <c r="E32" s="304"/>
      <c r="F32" s="304"/>
      <c r="G32" s="304"/>
      <c r="H32" s="303" t="s">
        <v>11</v>
      </c>
      <c r="I32" s="303"/>
      <c r="J32" s="303"/>
      <c r="K32" s="303"/>
      <c r="L32" s="303"/>
      <c r="M32" s="303"/>
      <c r="N32" s="62">
        <f>IFERROR(VLOOKUP(H32,プログラム設定に必要な行動,2,0),"")</f>
        <v>0</v>
      </c>
      <c r="O32" s="303" t="s">
        <v>352</v>
      </c>
      <c r="P32" s="303"/>
      <c r="Q32" s="303"/>
      <c r="R32" s="303"/>
      <c r="S32" s="303"/>
      <c r="T32" s="303"/>
      <c r="U32" s="64">
        <f>IFERROR(VLOOKUP(O32,プログラム設定に必要な行動,2,0),"")</f>
        <v>10</v>
      </c>
      <c r="V32" s="304"/>
      <c r="W32" s="304"/>
      <c r="X32" s="305"/>
      <c r="Y32" s="6"/>
      <c r="AA32" s="314"/>
      <c r="AB32" s="108" t="s">
        <v>151</v>
      </c>
      <c r="AC32" s="57">
        <f>AC30*0.75/86400</f>
        <v>5.2083333333333333E-4</v>
      </c>
      <c r="AD32" s="110">
        <f t="shared" ref="AD32:AK32" si="28">AD30*0.75/86400</f>
        <v>5.4774305555555557E-3</v>
      </c>
      <c r="AE32" s="46">
        <f t="shared" si="28"/>
        <v>4.9739583333333337E-3</v>
      </c>
      <c r="AF32" s="57">
        <f t="shared" si="28"/>
        <v>3.2118055555555556E-4</v>
      </c>
      <c r="AG32" s="110">
        <f t="shared" si="28"/>
        <v>5.355902777777778E-3</v>
      </c>
      <c r="AH32" s="57">
        <f t="shared" si="28"/>
        <v>6.1371527777777778E-3</v>
      </c>
      <c r="AI32" s="110">
        <f t="shared" si="28"/>
        <v>4.921875E-3</v>
      </c>
      <c r="AJ32" s="57">
        <f t="shared" si="28"/>
        <v>1.6536458333333334E-2</v>
      </c>
      <c r="AK32" s="46">
        <f t="shared" si="28"/>
        <v>2.1180555555555558E-3</v>
      </c>
    </row>
    <row r="33" spans="2:37" ht="13.5" customHeight="1" x14ac:dyDescent="0.15">
      <c r="C33" s="301"/>
      <c r="D33" s="302"/>
      <c r="E33" s="304"/>
      <c r="F33" s="304"/>
      <c r="G33" s="304"/>
      <c r="H33" s="303" t="s">
        <v>104</v>
      </c>
      <c r="I33" s="303"/>
      <c r="J33" s="303"/>
      <c r="K33" s="303"/>
      <c r="L33" s="303"/>
      <c r="M33" s="303"/>
      <c r="N33" s="62">
        <f>IFERROR(VLOOKUP(H33,プログラム設定に必要な行動,2,0),"")</f>
        <v>5</v>
      </c>
      <c r="O33" s="303" t="s">
        <v>11</v>
      </c>
      <c r="P33" s="303"/>
      <c r="Q33" s="303"/>
      <c r="R33" s="303"/>
      <c r="S33" s="303"/>
      <c r="T33" s="303"/>
      <c r="U33" s="64">
        <f>IFERROR(VLOOKUP(O33,プログラム設定に必要な行動,2,0),"")</f>
        <v>0</v>
      </c>
      <c r="V33" s="304"/>
      <c r="W33" s="304"/>
      <c r="X33" s="305"/>
      <c r="Y33" s="6"/>
      <c r="Z33" s="7"/>
      <c r="AA33" s="314"/>
      <c r="AB33" s="51" t="s">
        <v>34</v>
      </c>
      <c r="AC33" s="57">
        <f t="shared" ref="AC33" si="29">AC30*1/86400</f>
        <v>6.9444444444444447E-4</v>
      </c>
      <c r="AD33" s="110">
        <f t="shared" ref="AD33:AK33" si="30">AD30*1/86400</f>
        <v>7.3032407407407404E-3</v>
      </c>
      <c r="AE33" s="46">
        <f t="shared" si="30"/>
        <v>6.6319444444444446E-3</v>
      </c>
      <c r="AF33" s="57">
        <f t="shared" si="30"/>
        <v>4.2824074074074075E-4</v>
      </c>
      <c r="AG33" s="110">
        <f t="shared" si="30"/>
        <v>7.1412037037037034E-3</v>
      </c>
      <c r="AH33" s="57">
        <f t="shared" si="30"/>
        <v>8.1828703703703699E-3</v>
      </c>
      <c r="AI33" s="110">
        <f t="shared" si="30"/>
        <v>6.5624999999999998E-3</v>
      </c>
      <c r="AJ33" s="57">
        <f t="shared" si="30"/>
        <v>2.2048611111111113E-2</v>
      </c>
      <c r="AK33" s="46">
        <f t="shared" si="30"/>
        <v>2.8240740740740739E-3</v>
      </c>
    </row>
    <row r="34" spans="2:37" ht="13.5" customHeight="1" x14ac:dyDescent="0.15">
      <c r="C34" s="301"/>
      <c r="D34" s="302"/>
      <c r="E34" s="304"/>
      <c r="F34" s="304"/>
      <c r="G34" s="304"/>
      <c r="H34" s="303" t="s">
        <v>11</v>
      </c>
      <c r="I34" s="303"/>
      <c r="J34" s="303"/>
      <c r="K34" s="303"/>
      <c r="L34" s="303"/>
      <c r="M34" s="303"/>
      <c r="N34" s="62">
        <f>IFERROR(VLOOKUP(H34,プログラム設定に必要な行動,2,0),"")</f>
        <v>0</v>
      </c>
      <c r="O34" s="303" t="s">
        <v>104</v>
      </c>
      <c r="P34" s="303"/>
      <c r="Q34" s="303"/>
      <c r="R34" s="303"/>
      <c r="S34" s="303"/>
      <c r="T34" s="303"/>
      <c r="U34" s="64">
        <f>IFERROR(VLOOKUP(O34,プログラム設定に必要な行動,2,0),"")</f>
        <v>5</v>
      </c>
      <c r="V34" s="304"/>
      <c r="W34" s="304"/>
      <c r="X34" s="305"/>
      <c r="Y34" s="8"/>
      <c r="Z34" s="7"/>
      <c r="AA34" s="314"/>
      <c r="AB34" s="51" t="s">
        <v>152</v>
      </c>
      <c r="AC34" s="57">
        <f>AC30*1.25/86400</f>
        <v>8.6805555555555551E-4</v>
      </c>
      <c r="AD34" s="110">
        <f t="shared" ref="AD34:AK34" si="31">AD30*1.25/86400</f>
        <v>9.1290509259259259E-3</v>
      </c>
      <c r="AE34" s="46">
        <f t="shared" si="31"/>
        <v>8.2899305555555556E-3</v>
      </c>
      <c r="AF34" s="57">
        <f t="shared" si="31"/>
        <v>5.3530092592592594E-4</v>
      </c>
      <c r="AG34" s="110">
        <f t="shared" si="31"/>
        <v>8.9265046296296297E-3</v>
      </c>
      <c r="AH34" s="57">
        <f t="shared" si="31"/>
        <v>1.0228587962962964E-2</v>
      </c>
      <c r="AI34" s="110">
        <f t="shared" si="31"/>
        <v>8.2031250000000003E-3</v>
      </c>
      <c r="AJ34" s="57">
        <f t="shared" si="31"/>
        <v>2.7560763888888888E-2</v>
      </c>
      <c r="AK34" s="46">
        <f t="shared" si="31"/>
        <v>3.5300925925925925E-3</v>
      </c>
    </row>
    <row r="35" spans="2:37" ht="13.5" customHeight="1" x14ac:dyDescent="0.15">
      <c r="C35" s="352" t="s">
        <v>255</v>
      </c>
      <c r="D35" s="353"/>
      <c r="E35" s="330"/>
      <c r="F35" s="330"/>
      <c r="G35" s="330"/>
      <c r="H35" s="350" t="s">
        <v>12</v>
      </c>
      <c r="I35" s="350"/>
      <c r="J35" s="350"/>
      <c r="K35" s="350"/>
      <c r="L35" s="350"/>
      <c r="M35" s="351">
        <f>IFERROR(L9-N31-N32-N33-N34,"")</f>
        <v>75</v>
      </c>
      <c r="N35" s="351"/>
      <c r="O35" s="350" t="s">
        <v>12</v>
      </c>
      <c r="P35" s="350"/>
      <c r="Q35" s="350"/>
      <c r="R35" s="350"/>
      <c r="S35" s="350"/>
      <c r="T35" s="351">
        <f>IFERROR(S9-U31-U32-U33-U34,"")</f>
        <v>45.000000000000057</v>
      </c>
      <c r="U35" s="351"/>
      <c r="V35" s="330"/>
      <c r="W35" s="330"/>
      <c r="X35" s="331"/>
      <c r="Z35" s="8"/>
      <c r="AA35" s="314"/>
      <c r="AB35" s="51" t="s">
        <v>35</v>
      </c>
      <c r="AC35" s="57">
        <f t="shared" ref="AC35" si="32">AC30*1.5/86400</f>
        <v>1.0416666666666667E-3</v>
      </c>
      <c r="AD35" s="110">
        <f t="shared" ref="AD35:AK35" si="33">AD30*1.5/86400</f>
        <v>1.0954861111111111E-2</v>
      </c>
      <c r="AE35" s="46">
        <f t="shared" si="33"/>
        <v>9.9479166666666674E-3</v>
      </c>
      <c r="AF35" s="57">
        <f t="shared" si="33"/>
        <v>6.4236111111111113E-4</v>
      </c>
      <c r="AG35" s="110">
        <f t="shared" si="33"/>
        <v>1.0711805555555556E-2</v>
      </c>
      <c r="AH35" s="57">
        <f t="shared" si="33"/>
        <v>1.2274305555555556E-2</v>
      </c>
      <c r="AI35" s="110">
        <f t="shared" si="33"/>
        <v>9.8437500000000001E-3</v>
      </c>
      <c r="AJ35" s="57">
        <f t="shared" si="33"/>
        <v>3.3072916666666667E-2</v>
      </c>
      <c r="AK35" s="46">
        <f t="shared" si="33"/>
        <v>4.2361111111111115E-3</v>
      </c>
    </row>
    <row r="36" spans="2:37" ht="13.5" customHeight="1" x14ac:dyDescent="0.15">
      <c r="G36" s="6"/>
      <c r="H36" s="6"/>
      <c r="I36" s="8"/>
      <c r="J36" s="8"/>
      <c r="K36" s="8"/>
      <c r="L36" s="8"/>
      <c r="M36" s="8"/>
      <c r="N36" s="8"/>
      <c r="AA36" s="314"/>
      <c r="AB36" s="142" t="s">
        <v>153</v>
      </c>
      <c r="AC36" s="145">
        <f>AC30*1.75/86400</f>
        <v>1.2152777777777778E-3</v>
      </c>
      <c r="AD36" s="146">
        <f t="shared" ref="AD36:AK36" si="34">AD30*1.75/86400</f>
        <v>1.2780671296296297E-2</v>
      </c>
      <c r="AE36" s="47">
        <f t="shared" si="34"/>
        <v>1.1605902777777777E-2</v>
      </c>
      <c r="AF36" s="145">
        <f t="shared" si="34"/>
        <v>7.4942129629629632E-4</v>
      </c>
      <c r="AG36" s="146">
        <f t="shared" si="34"/>
        <v>1.2497106481481482E-2</v>
      </c>
      <c r="AH36" s="145">
        <f t="shared" si="34"/>
        <v>1.4320023148148148E-2</v>
      </c>
      <c r="AI36" s="146">
        <f t="shared" si="34"/>
        <v>1.1484375E-2</v>
      </c>
      <c r="AJ36" s="145">
        <f t="shared" si="34"/>
        <v>3.8585069444444446E-2</v>
      </c>
      <c r="AK36" s="47">
        <f t="shared" si="34"/>
        <v>4.9421296296296297E-3</v>
      </c>
    </row>
    <row r="37" spans="2:37" ht="13.5" customHeight="1" x14ac:dyDescent="0.15">
      <c r="C37" s="489" t="s">
        <v>19</v>
      </c>
      <c r="D37" s="489"/>
      <c r="E37" s="489"/>
      <c r="F37" s="489"/>
      <c r="G37" s="489"/>
      <c r="H37" s="355" t="s">
        <v>64</v>
      </c>
      <c r="I37" s="355"/>
      <c r="J37" s="354">
        <f>IFERROR((M15+M20+M25+M30+M35)/24/60,"")</f>
        <v>0.24652777777777776</v>
      </c>
      <c r="K37" s="354"/>
      <c r="L37" s="354"/>
      <c r="M37" s="354"/>
      <c r="N37" s="354"/>
      <c r="O37" s="355" t="s">
        <v>65</v>
      </c>
      <c r="P37" s="355"/>
      <c r="Q37" s="354">
        <f>IFERROR((T15+T20+T25+T30+T35)/24/60,"")</f>
        <v>0.19791666666666688</v>
      </c>
      <c r="R37" s="354"/>
      <c r="S37" s="354"/>
      <c r="T37" s="354"/>
      <c r="U37" s="354"/>
      <c r="AA37" s="315"/>
      <c r="AB37" s="52" t="s">
        <v>36</v>
      </c>
      <c r="AC37" s="58">
        <f>AC30*2/86400</f>
        <v>1.3888888888888889E-3</v>
      </c>
      <c r="AD37" s="111">
        <f t="shared" ref="AD37:AK37" si="35">AD30*2/86400</f>
        <v>1.4606481481481481E-2</v>
      </c>
      <c r="AE37" s="49">
        <f t="shared" si="35"/>
        <v>1.3263888888888889E-2</v>
      </c>
      <c r="AF37" s="58">
        <f t="shared" si="35"/>
        <v>8.564814814814815E-4</v>
      </c>
      <c r="AG37" s="111">
        <f t="shared" si="35"/>
        <v>1.4282407407407407E-2</v>
      </c>
      <c r="AH37" s="58">
        <f t="shared" si="35"/>
        <v>1.636574074074074E-2</v>
      </c>
      <c r="AI37" s="111">
        <f t="shared" si="35"/>
        <v>1.3125E-2</v>
      </c>
      <c r="AJ37" s="58">
        <f t="shared" si="35"/>
        <v>4.4097222222222225E-2</v>
      </c>
      <c r="AK37" s="49">
        <f t="shared" si="35"/>
        <v>5.6481481481481478E-3</v>
      </c>
    </row>
    <row r="38" spans="2:37" ht="13.5" customHeight="1" x14ac:dyDescent="0.15">
      <c r="C38" s="73"/>
      <c r="D38" s="73"/>
      <c r="E38" s="73"/>
      <c r="F38" s="73"/>
      <c r="G38" s="73"/>
      <c r="H38" s="68"/>
      <c r="I38" s="68"/>
      <c r="J38" s="95"/>
      <c r="K38" s="95"/>
      <c r="L38" s="95"/>
      <c r="M38" s="95"/>
      <c r="N38" s="95"/>
      <c r="O38" s="68"/>
      <c r="P38" s="68"/>
      <c r="Q38" s="95"/>
      <c r="R38" s="95"/>
      <c r="S38" s="95"/>
      <c r="T38" s="95"/>
      <c r="U38" s="95"/>
      <c r="AA38" s="313" t="s">
        <v>41</v>
      </c>
      <c r="AB38" s="272" t="s">
        <v>33</v>
      </c>
      <c r="AC38" s="266">
        <v>71</v>
      </c>
      <c r="AD38" s="268">
        <v>695</v>
      </c>
      <c r="AE38" s="269">
        <v>741</v>
      </c>
      <c r="AF38" s="266">
        <v>44</v>
      </c>
      <c r="AG38" s="48">
        <v>646</v>
      </c>
      <c r="AH38" s="266">
        <v>785</v>
      </c>
      <c r="AI38" s="48">
        <v>1075</v>
      </c>
      <c r="AJ38" s="105">
        <v>2260</v>
      </c>
      <c r="AK38" s="269">
        <v>296</v>
      </c>
    </row>
    <row r="39" spans="2:37" ht="13.5" customHeight="1" x14ac:dyDescent="0.15">
      <c r="G39" s="6"/>
      <c r="K39" s="8"/>
      <c r="L39" s="8"/>
      <c r="M39" s="8"/>
      <c r="N39" s="8"/>
      <c r="O39" s="8"/>
      <c r="P39" s="8"/>
      <c r="Q39" s="8"/>
      <c r="R39" s="8"/>
      <c r="S39" s="8"/>
      <c r="T39" s="8"/>
      <c r="AA39" s="314"/>
      <c r="AB39" s="51" t="s">
        <v>80</v>
      </c>
      <c r="AC39" s="57">
        <f>AC38*0.5/86400</f>
        <v>4.1087962962962964E-4</v>
      </c>
      <c r="AD39" s="110">
        <f t="shared" ref="AD39:AK39" si="36">AD38*0.5/86400</f>
        <v>4.0219907407407409E-3</v>
      </c>
      <c r="AE39" s="46">
        <f t="shared" si="36"/>
        <v>4.2881944444444443E-3</v>
      </c>
      <c r="AF39" s="57">
        <f t="shared" si="36"/>
        <v>2.5462962962962961E-4</v>
      </c>
      <c r="AG39" s="110">
        <f t="shared" si="36"/>
        <v>3.7384259259259259E-3</v>
      </c>
      <c r="AH39" s="57">
        <f t="shared" si="36"/>
        <v>4.5428240740740741E-3</v>
      </c>
      <c r="AI39" s="110">
        <f t="shared" si="36"/>
        <v>6.2210648148148147E-3</v>
      </c>
      <c r="AJ39" s="57">
        <f t="shared" si="36"/>
        <v>1.3078703703703703E-2</v>
      </c>
      <c r="AK39" s="46">
        <f t="shared" si="36"/>
        <v>1.712962962962963E-3</v>
      </c>
    </row>
    <row r="40" spans="2:37" ht="13.5" customHeight="1" x14ac:dyDescent="0.15">
      <c r="B40" s="96" t="s">
        <v>20</v>
      </c>
      <c r="G40" s="6"/>
      <c r="H40" s="6"/>
      <c r="I40" s="8"/>
      <c r="J40" s="8"/>
      <c r="K40" s="8"/>
      <c r="L40" s="8"/>
      <c r="M40" s="8"/>
      <c r="N40" s="8"/>
      <c r="O40" s="8"/>
      <c r="P40" s="8"/>
      <c r="Q40" s="8"/>
      <c r="R40" s="8"/>
      <c r="S40" s="8"/>
      <c r="T40" s="8"/>
      <c r="AA40" s="314"/>
      <c r="AB40" s="108" t="s">
        <v>151</v>
      </c>
      <c r="AC40" s="57">
        <f>AC38*0.75/86400</f>
        <v>6.163194444444444E-4</v>
      </c>
      <c r="AD40" s="110">
        <f t="shared" ref="AD40:AK40" si="37">AD38*0.75/86400</f>
        <v>6.0329861111111114E-3</v>
      </c>
      <c r="AE40" s="46">
        <f t="shared" si="37"/>
        <v>6.4322916666666669E-3</v>
      </c>
      <c r="AF40" s="57">
        <f t="shared" si="37"/>
        <v>3.8194444444444446E-4</v>
      </c>
      <c r="AG40" s="110">
        <f t="shared" si="37"/>
        <v>5.6076388888888886E-3</v>
      </c>
      <c r="AH40" s="57">
        <f t="shared" si="37"/>
        <v>6.8142361111111112E-3</v>
      </c>
      <c r="AI40" s="110">
        <f t="shared" si="37"/>
        <v>9.331597222222222E-3</v>
      </c>
      <c r="AJ40" s="57">
        <f t="shared" si="37"/>
        <v>1.9618055555555555E-2</v>
      </c>
      <c r="AK40" s="46">
        <f t="shared" si="37"/>
        <v>2.5694444444444445E-3</v>
      </c>
    </row>
    <row r="41" spans="2:37" ht="13.5" customHeight="1" x14ac:dyDescent="0.15">
      <c r="N41" s="432" t="s">
        <v>141</v>
      </c>
      <c r="O41" s="432"/>
      <c r="P41" s="432"/>
      <c r="Q41" s="432"/>
      <c r="R41" s="432"/>
      <c r="S41" s="432"/>
      <c r="T41" s="432"/>
      <c r="U41" s="432"/>
      <c r="V41" s="432"/>
      <c r="W41" s="416">
        <f>IFERROR(B76,"")</f>
        <v>640.00000000000023</v>
      </c>
      <c r="X41" s="416"/>
      <c r="AA41" s="314"/>
      <c r="AB41" s="51" t="s">
        <v>34</v>
      </c>
      <c r="AC41" s="57">
        <f t="shared" ref="AC41" si="38">AC38*1/86400</f>
        <v>8.2175925925925927E-4</v>
      </c>
      <c r="AD41" s="110">
        <f t="shared" ref="AD41:AK41" si="39">AD38*1/86400</f>
        <v>8.0439814814814818E-3</v>
      </c>
      <c r="AE41" s="46">
        <f t="shared" si="39"/>
        <v>8.5763888888888886E-3</v>
      </c>
      <c r="AF41" s="57">
        <f t="shared" si="39"/>
        <v>5.0925925925925921E-4</v>
      </c>
      <c r="AG41" s="110">
        <f t="shared" si="39"/>
        <v>7.4768518518518517E-3</v>
      </c>
      <c r="AH41" s="57">
        <f t="shared" si="39"/>
        <v>9.0856481481481483E-3</v>
      </c>
      <c r="AI41" s="110">
        <f t="shared" si="39"/>
        <v>1.2442129629629629E-2</v>
      </c>
      <c r="AJ41" s="57">
        <f t="shared" si="39"/>
        <v>2.6157407407407407E-2</v>
      </c>
      <c r="AK41" s="46">
        <f t="shared" si="39"/>
        <v>3.425925925925926E-3</v>
      </c>
    </row>
    <row r="42" spans="2:37" ht="13.5" customHeight="1" x14ac:dyDescent="0.15">
      <c r="T42" s="31"/>
      <c r="U42" s="94"/>
      <c r="V42" s="94"/>
      <c r="AA42" s="314"/>
      <c r="AB42" s="51" t="s">
        <v>152</v>
      </c>
      <c r="AC42" s="57">
        <f>AC38*1.25/86400</f>
        <v>1.027199074074074E-3</v>
      </c>
      <c r="AD42" s="110">
        <f t="shared" ref="AD42:AK42" si="40">AD38*1.25/86400</f>
        <v>1.0054976851851851E-2</v>
      </c>
      <c r="AE42" s="46">
        <f t="shared" si="40"/>
        <v>1.0720486111111111E-2</v>
      </c>
      <c r="AF42" s="57">
        <f t="shared" si="40"/>
        <v>6.3657407407407413E-4</v>
      </c>
      <c r="AG42" s="110">
        <f t="shared" si="40"/>
        <v>9.346064814814814E-3</v>
      </c>
      <c r="AH42" s="57">
        <f t="shared" si="40"/>
        <v>1.1357060185185185E-2</v>
      </c>
      <c r="AI42" s="110">
        <f t="shared" si="40"/>
        <v>1.5552662037037037E-2</v>
      </c>
      <c r="AJ42" s="57">
        <f t="shared" si="40"/>
        <v>3.2696759259259259E-2</v>
      </c>
      <c r="AK42" s="46">
        <f t="shared" si="40"/>
        <v>4.2824074074074075E-3</v>
      </c>
    </row>
    <row r="43" spans="2:37" ht="13.5" customHeight="1" x14ac:dyDescent="0.15">
      <c r="C43" s="1" t="s">
        <v>21</v>
      </c>
      <c r="N43" s="432" t="s">
        <v>139</v>
      </c>
      <c r="O43" s="432"/>
      <c r="P43" s="432"/>
      <c r="Q43" s="432"/>
      <c r="R43" s="432"/>
      <c r="S43" s="432"/>
      <c r="T43" s="432"/>
      <c r="U43" s="432"/>
      <c r="V43" s="432"/>
      <c r="W43" s="416">
        <f>C95</f>
        <v>160</v>
      </c>
      <c r="X43" s="431"/>
      <c r="AA43" s="314"/>
      <c r="AB43" s="51" t="s">
        <v>35</v>
      </c>
      <c r="AC43" s="57">
        <f t="shared" ref="AC43" si="41">AC38*1.5/86400</f>
        <v>1.2326388888888888E-3</v>
      </c>
      <c r="AD43" s="110">
        <f t="shared" ref="AD43:AK43" si="42">AD38*1.5/86400</f>
        <v>1.2065972222222223E-2</v>
      </c>
      <c r="AE43" s="46">
        <f t="shared" si="42"/>
        <v>1.2864583333333334E-2</v>
      </c>
      <c r="AF43" s="57">
        <f t="shared" si="42"/>
        <v>7.6388888888888893E-4</v>
      </c>
      <c r="AG43" s="110">
        <f t="shared" si="42"/>
        <v>1.1215277777777777E-2</v>
      </c>
      <c r="AH43" s="57">
        <f t="shared" si="42"/>
        <v>1.3628472222222222E-2</v>
      </c>
      <c r="AI43" s="110">
        <f t="shared" si="42"/>
        <v>1.8663194444444444E-2</v>
      </c>
      <c r="AJ43" s="57">
        <f t="shared" si="42"/>
        <v>3.923611111111111E-2</v>
      </c>
      <c r="AK43" s="46">
        <f t="shared" si="42"/>
        <v>5.138888888888889E-3</v>
      </c>
    </row>
    <row r="44" spans="2:37" ht="13.5" customHeight="1" x14ac:dyDescent="0.15">
      <c r="C44" s="483"/>
      <c r="D44" s="484"/>
      <c r="E44" s="485"/>
      <c r="F44" s="276"/>
      <c r="G44" s="463" t="s">
        <v>55</v>
      </c>
      <c r="H44" s="464"/>
      <c r="I44" s="464"/>
      <c r="J44" s="464"/>
      <c r="K44" s="464"/>
      <c r="L44" s="464"/>
      <c r="M44" s="390" t="s">
        <v>56</v>
      </c>
      <c r="N44" s="390"/>
      <c r="O44" s="390"/>
      <c r="P44" s="390"/>
      <c r="Q44" s="390"/>
      <c r="R44" s="391"/>
      <c r="AA44" s="314"/>
      <c r="AB44" s="142" t="s">
        <v>153</v>
      </c>
      <c r="AC44" s="145">
        <f>AC38*1.75/86400</f>
        <v>1.4380787037037038E-3</v>
      </c>
      <c r="AD44" s="146">
        <f t="shared" ref="AD44:AK44" si="43">AD38*1.75/86400</f>
        <v>1.4076967592592592E-2</v>
      </c>
      <c r="AE44" s="47">
        <f t="shared" si="43"/>
        <v>1.5008680555555556E-2</v>
      </c>
      <c r="AF44" s="145">
        <f t="shared" si="43"/>
        <v>8.9120370370370373E-4</v>
      </c>
      <c r="AG44" s="146">
        <f t="shared" si="43"/>
        <v>1.308449074074074E-2</v>
      </c>
      <c r="AH44" s="145">
        <f t="shared" si="43"/>
        <v>1.5899884259259259E-2</v>
      </c>
      <c r="AI44" s="146">
        <f t="shared" si="43"/>
        <v>2.1773726851851853E-2</v>
      </c>
      <c r="AJ44" s="145">
        <f t="shared" si="43"/>
        <v>4.5775462962962962E-2</v>
      </c>
      <c r="AK44" s="47">
        <f t="shared" si="43"/>
        <v>5.9953703703703705E-3</v>
      </c>
    </row>
    <row r="45" spans="2:37" ht="13.5" customHeight="1" x14ac:dyDescent="0.15">
      <c r="C45" s="459" t="s">
        <v>276</v>
      </c>
      <c r="D45" s="460"/>
      <c r="E45" s="461"/>
      <c r="F45" s="277"/>
      <c r="G45" s="392" t="s">
        <v>58</v>
      </c>
      <c r="H45" s="388"/>
      <c r="I45" s="388"/>
      <c r="J45" s="388"/>
      <c r="K45" s="388"/>
      <c r="L45" s="388"/>
      <c r="M45" s="388" t="s">
        <v>61</v>
      </c>
      <c r="N45" s="388"/>
      <c r="O45" s="388"/>
      <c r="P45" s="388"/>
      <c r="Q45" s="388"/>
      <c r="R45" s="389"/>
      <c r="AA45" s="315"/>
      <c r="AB45" s="52" t="s">
        <v>36</v>
      </c>
      <c r="AC45" s="58">
        <f>AC38*2/86400</f>
        <v>1.6435185185185185E-3</v>
      </c>
      <c r="AD45" s="111">
        <f t="shared" ref="AD45:AK45" si="44">AD38*2/86400</f>
        <v>1.6087962962962964E-2</v>
      </c>
      <c r="AE45" s="49">
        <f t="shared" si="44"/>
        <v>1.7152777777777777E-2</v>
      </c>
      <c r="AF45" s="58">
        <f t="shared" si="44"/>
        <v>1.0185185185185184E-3</v>
      </c>
      <c r="AG45" s="111">
        <f t="shared" si="44"/>
        <v>1.4953703703703703E-2</v>
      </c>
      <c r="AH45" s="58">
        <f t="shared" si="44"/>
        <v>1.8171296296296297E-2</v>
      </c>
      <c r="AI45" s="111">
        <f t="shared" si="44"/>
        <v>2.4884259259259259E-2</v>
      </c>
      <c r="AJ45" s="58">
        <f t="shared" si="44"/>
        <v>5.2314814814814814E-2</v>
      </c>
      <c r="AK45" s="49">
        <f t="shared" si="44"/>
        <v>6.851851851851852E-3</v>
      </c>
    </row>
    <row r="46" spans="2:37" ht="13.5" customHeight="1" x14ac:dyDescent="0.15">
      <c r="C46" s="486" t="s">
        <v>277</v>
      </c>
      <c r="D46" s="487"/>
      <c r="E46" s="488"/>
      <c r="F46" s="278"/>
      <c r="G46" s="497" t="s">
        <v>59</v>
      </c>
      <c r="H46" s="339"/>
      <c r="I46" s="339"/>
      <c r="J46" s="339"/>
      <c r="K46" s="339"/>
      <c r="L46" s="339"/>
      <c r="M46" s="339" t="s">
        <v>60</v>
      </c>
      <c r="N46" s="339"/>
      <c r="O46" s="339"/>
      <c r="P46" s="339"/>
      <c r="Q46" s="339"/>
      <c r="R46" s="340"/>
      <c r="U46" s="12"/>
      <c r="AA46" s="313" t="s">
        <v>42</v>
      </c>
      <c r="AB46" s="273" t="s">
        <v>33</v>
      </c>
      <c r="AC46" s="267">
        <v>86</v>
      </c>
      <c r="AD46" s="151"/>
      <c r="AE46" s="269">
        <v>1021</v>
      </c>
      <c r="AF46" s="267">
        <v>53</v>
      </c>
      <c r="AG46" s="55"/>
      <c r="AH46" s="270">
        <v>892</v>
      </c>
      <c r="AI46" s="55"/>
      <c r="AJ46" s="56"/>
      <c r="AK46" s="269">
        <v>580</v>
      </c>
    </row>
    <row r="47" spans="2:37" ht="13.5" customHeight="1" x14ac:dyDescent="0.15">
      <c r="D47" s="33"/>
      <c r="E47" s="33"/>
      <c r="F47" s="33"/>
      <c r="G47" s="36"/>
      <c r="H47" s="37"/>
      <c r="I47" s="37"/>
      <c r="J47" s="37"/>
      <c r="K47" s="37"/>
      <c r="L47" s="36"/>
      <c r="M47" s="32"/>
      <c r="N47" s="32"/>
      <c r="O47" s="32"/>
      <c r="P47" s="35"/>
      <c r="Q47" s="33"/>
      <c r="R47" s="33"/>
      <c r="S47" s="22"/>
      <c r="T47" s="33"/>
      <c r="AA47" s="314"/>
      <c r="AB47" s="51" t="s">
        <v>80</v>
      </c>
      <c r="AC47" s="57">
        <f>AC46*0.5/86400</f>
        <v>4.9768518518518521E-4</v>
      </c>
      <c r="AD47" s="110"/>
      <c r="AE47" s="46">
        <f t="shared" ref="AE47:AK47" si="45">AE46*0.5/86400</f>
        <v>5.9085648148148144E-3</v>
      </c>
      <c r="AF47" s="57">
        <f t="shared" si="45"/>
        <v>3.0671296296296295E-4</v>
      </c>
      <c r="AG47" s="53"/>
      <c r="AH47" s="57">
        <f t="shared" ref="AH47" si="46">AH46*0.5/86400</f>
        <v>5.162037037037037E-3</v>
      </c>
      <c r="AI47" s="53"/>
      <c r="AJ47" s="57"/>
      <c r="AK47" s="46">
        <f t="shared" si="45"/>
        <v>3.3564814814814816E-3</v>
      </c>
    </row>
    <row r="48" spans="2:37" ht="13.5" customHeight="1" x14ac:dyDescent="0.15">
      <c r="C48" s="1" t="s">
        <v>271</v>
      </c>
      <c r="N48" s="496" t="s">
        <v>140</v>
      </c>
      <c r="O48" s="496"/>
      <c r="P48" s="496"/>
      <c r="Q48" s="496"/>
      <c r="R48" s="496"/>
      <c r="S48" s="496"/>
      <c r="T48" s="496"/>
      <c r="U48" s="496"/>
      <c r="V48" s="496"/>
      <c r="W48" s="418">
        <f>IFERROR(W41-C95,"")</f>
        <v>480.00000000000023</v>
      </c>
      <c r="X48" s="419"/>
      <c r="AA48" s="314"/>
      <c r="AB48" s="108" t="s">
        <v>151</v>
      </c>
      <c r="AC48" s="57">
        <f>AC46*0.75/86400</f>
        <v>7.4652777777777781E-4</v>
      </c>
      <c r="AD48" s="110"/>
      <c r="AE48" s="46">
        <f t="shared" ref="AE48:AK48" si="47">AE46*0.75/86400</f>
        <v>8.8628472222222216E-3</v>
      </c>
      <c r="AF48" s="57">
        <f t="shared" si="47"/>
        <v>4.6006944444444443E-4</v>
      </c>
      <c r="AG48" s="53"/>
      <c r="AH48" s="57">
        <f t="shared" ref="AH48" si="48">AH46*0.75/86400</f>
        <v>7.743055555555556E-3</v>
      </c>
      <c r="AI48" s="53"/>
      <c r="AJ48" s="57"/>
      <c r="AK48" s="46">
        <f t="shared" si="47"/>
        <v>5.0347222222222225E-3</v>
      </c>
    </row>
    <row r="49" spans="3:38" ht="13.5" customHeight="1" x14ac:dyDescent="0.15">
      <c r="C49" s="503"/>
      <c r="D49" s="504"/>
      <c r="E49" s="505"/>
      <c r="F49" s="297" t="s">
        <v>239</v>
      </c>
      <c r="G49" s="444"/>
      <c r="H49" s="444"/>
      <c r="I49" s="444"/>
      <c r="J49" s="444"/>
      <c r="K49" s="444"/>
      <c r="L49" s="437" t="s">
        <v>166</v>
      </c>
      <c r="M49" s="438"/>
      <c r="N49" s="439"/>
      <c r="O49" s="443" t="s">
        <v>164</v>
      </c>
      <c r="P49" s="444"/>
      <c r="Q49" s="444"/>
      <c r="R49" s="444"/>
      <c r="S49" s="299" t="s">
        <v>229</v>
      </c>
      <c r="T49" s="299"/>
      <c r="U49" s="299"/>
      <c r="V49" s="299"/>
      <c r="W49" s="299"/>
      <c r="X49" s="310"/>
      <c r="AA49" s="314"/>
      <c r="AB49" s="51" t="s">
        <v>34</v>
      </c>
      <c r="AC49" s="57">
        <f>AC46*1/86400</f>
        <v>9.9537037037037042E-4</v>
      </c>
      <c r="AD49" s="110"/>
      <c r="AE49" s="46">
        <f t="shared" ref="AE49:AK49" si="49">AE46*1/86400</f>
        <v>1.1817129629629629E-2</v>
      </c>
      <c r="AF49" s="57">
        <f t="shared" si="49"/>
        <v>6.134259259259259E-4</v>
      </c>
      <c r="AG49" s="53"/>
      <c r="AH49" s="57">
        <f t="shared" ref="AH49" si="50">AH46*1/86400</f>
        <v>1.0324074074074074E-2</v>
      </c>
      <c r="AI49" s="53"/>
      <c r="AJ49" s="57"/>
      <c r="AK49" s="46">
        <f t="shared" si="49"/>
        <v>6.7129629629629631E-3</v>
      </c>
    </row>
    <row r="50" spans="3:38" ht="13.5" customHeight="1" x14ac:dyDescent="0.15">
      <c r="C50" s="506"/>
      <c r="D50" s="507"/>
      <c r="E50" s="508"/>
      <c r="F50" s="359"/>
      <c r="G50" s="378"/>
      <c r="H50" s="378"/>
      <c r="I50" s="378"/>
      <c r="J50" s="378"/>
      <c r="K50" s="378"/>
      <c r="L50" s="440"/>
      <c r="M50" s="441"/>
      <c r="N50" s="442"/>
      <c r="O50" s="445"/>
      <c r="P50" s="378"/>
      <c r="Q50" s="378"/>
      <c r="R50" s="378"/>
      <c r="S50" s="393"/>
      <c r="T50" s="393"/>
      <c r="U50" s="393"/>
      <c r="V50" s="393"/>
      <c r="W50" s="393"/>
      <c r="X50" s="394"/>
      <c r="AA50" s="314"/>
      <c r="AB50" s="51" t="s">
        <v>152</v>
      </c>
      <c r="AC50" s="57">
        <f>AC46*1.25/86400</f>
        <v>1.244212962962963E-3</v>
      </c>
      <c r="AD50" s="110"/>
      <c r="AE50" s="46">
        <f t="shared" ref="AE50:AK50" si="51">AE46*1.25/86400</f>
        <v>1.4771412037037038E-2</v>
      </c>
      <c r="AF50" s="57">
        <f t="shared" si="51"/>
        <v>7.6678240740740743E-4</v>
      </c>
      <c r="AG50" s="53"/>
      <c r="AH50" s="57">
        <f t="shared" ref="AH50" si="52">AH46*1.25/86400</f>
        <v>1.2905092592592593E-2</v>
      </c>
      <c r="AI50" s="53"/>
      <c r="AJ50" s="57"/>
      <c r="AK50" s="46">
        <f t="shared" si="51"/>
        <v>8.3912037037037045E-3</v>
      </c>
      <c r="AL50" s="11"/>
    </row>
    <row r="51" spans="3:38" ht="13.5" customHeight="1" x14ac:dyDescent="0.15">
      <c r="C51" s="490" t="s">
        <v>22</v>
      </c>
      <c r="D51" s="491"/>
      <c r="E51" s="492"/>
      <c r="F51" s="402"/>
      <c r="G51" s="403"/>
      <c r="H51" s="403"/>
      <c r="I51" s="403"/>
      <c r="J51" s="403"/>
      <c r="K51" s="404"/>
      <c r="L51" s="408"/>
      <c r="M51" s="409"/>
      <c r="N51" s="410"/>
      <c r="O51" s="530" t="str">
        <f>IFERROR(IF($U$119&gt;41,40,$U$119),"")</f>
        <v/>
      </c>
      <c r="P51" s="531"/>
      <c r="Q51" s="281"/>
      <c r="R51" s="414" t="s">
        <v>324</v>
      </c>
      <c r="S51" s="400" t="s">
        <v>233</v>
      </c>
      <c r="T51" s="400"/>
      <c r="U51" s="400"/>
      <c r="V51" s="400" t="s">
        <v>228</v>
      </c>
      <c r="W51" s="400"/>
      <c r="X51" s="401"/>
      <c r="AA51" s="314"/>
      <c r="AB51" s="51" t="s">
        <v>35</v>
      </c>
      <c r="AC51" s="57">
        <f>AC46*1.5/86400</f>
        <v>1.4930555555555556E-3</v>
      </c>
      <c r="AD51" s="110"/>
      <c r="AE51" s="46">
        <f t="shared" ref="AE51:AK51" si="53">AE46*1.5/86400</f>
        <v>1.7725694444444443E-2</v>
      </c>
      <c r="AF51" s="57">
        <f t="shared" si="53"/>
        <v>9.2013888888888885E-4</v>
      </c>
      <c r="AG51" s="53"/>
      <c r="AH51" s="57">
        <f t="shared" ref="AH51" si="54">AH46*1.5/86400</f>
        <v>1.5486111111111112E-2</v>
      </c>
      <c r="AI51" s="53"/>
      <c r="AJ51" s="57"/>
      <c r="AK51" s="46">
        <f t="shared" si="53"/>
        <v>1.0069444444444445E-2</v>
      </c>
      <c r="AL51" s="11"/>
    </row>
    <row r="52" spans="3:38" ht="13.5" customHeight="1" x14ac:dyDescent="0.15">
      <c r="C52" s="493"/>
      <c r="D52" s="494"/>
      <c r="E52" s="495"/>
      <c r="F52" s="405"/>
      <c r="G52" s="406"/>
      <c r="H52" s="406"/>
      <c r="I52" s="406"/>
      <c r="J52" s="406"/>
      <c r="K52" s="407"/>
      <c r="L52" s="411"/>
      <c r="M52" s="412"/>
      <c r="N52" s="413"/>
      <c r="O52" s="532"/>
      <c r="P52" s="533"/>
      <c r="Q52" s="282"/>
      <c r="R52" s="415"/>
      <c r="S52" s="397"/>
      <c r="T52" s="397"/>
      <c r="U52" s="397"/>
      <c r="V52" s="398" t="str">
        <f>IFERROR(VLOOKUP(S52,タスクA時間の選択,2,FALSE),"")</f>
        <v/>
      </c>
      <c r="W52" s="398"/>
      <c r="X52" s="399"/>
      <c r="AA52" s="314"/>
      <c r="AB52" s="142" t="s">
        <v>153</v>
      </c>
      <c r="AC52" s="145">
        <f>AC46*1.75/86400</f>
        <v>1.7418981481481482E-3</v>
      </c>
      <c r="AD52" s="146"/>
      <c r="AE52" s="47">
        <f>AE46*1.75/86400</f>
        <v>2.0679976851851852E-2</v>
      </c>
      <c r="AF52" s="145">
        <f>AF46*1.75/86400</f>
        <v>1.0734953703703703E-3</v>
      </c>
      <c r="AG52" s="147"/>
      <c r="AH52" s="145">
        <f t="shared" ref="AH52" si="55">AH46*1.75/86400</f>
        <v>1.8067129629629631E-2</v>
      </c>
      <c r="AI52" s="147"/>
      <c r="AJ52" s="145"/>
      <c r="AK52" s="47">
        <f>AK46*1.75/86400</f>
        <v>1.1747685185185186E-2</v>
      </c>
      <c r="AL52" s="11"/>
    </row>
    <row r="53" spans="3:38" ht="13.5" customHeight="1" x14ac:dyDescent="0.15">
      <c r="C53" s="434" t="s">
        <v>165</v>
      </c>
      <c r="D53" s="435"/>
      <c r="E53" s="436"/>
      <c r="F53" s="427"/>
      <c r="G53" s="420"/>
      <c r="H53" s="420"/>
      <c r="I53" s="420"/>
      <c r="J53" s="420"/>
      <c r="K53" s="421"/>
      <c r="L53" s="420"/>
      <c r="M53" s="420"/>
      <c r="N53" s="421"/>
      <c r="O53" s="520" t="str">
        <f>IFERROR($X$121,"")</f>
        <v/>
      </c>
      <c r="P53" s="521"/>
      <c r="Q53" s="279"/>
      <c r="R53" s="209"/>
      <c r="S53" s="465" t="str">
        <f t="shared" ref="S53" si="56">$C$32</f>
        <v>11月12日</v>
      </c>
      <c r="T53" s="466"/>
      <c r="U53" s="467"/>
      <c r="V53" s="509">
        <v>0.625</v>
      </c>
      <c r="W53" s="510"/>
      <c r="X53" s="511"/>
      <c r="AA53" s="314"/>
      <c r="AB53" s="52" t="s">
        <v>36</v>
      </c>
      <c r="AC53" s="145">
        <f>AC46*2/86400</f>
        <v>1.9907407407407408E-3</v>
      </c>
      <c r="AD53" s="146"/>
      <c r="AE53" s="47">
        <f>AE46*2/86400</f>
        <v>2.3634259259259258E-2</v>
      </c>
      <c r="AF53" s="145">
        <f>AF46*2/86400</f>
        <v>1.2268518518518518E-3</v>
      </c>
      <c r="AG53" s="147"/>
      <c r="AH53" s="58">
        <f t="shared" ref="AH53" si="57">AH46*2/86400</f>
        <v>2.0648148148148148E-2</v>
      </c>
      <c r="AI53" s="147"/>
      <c r="AJ53" s="145"/>
      <c r="AK53" s="47">
        <f>AK46*2/86400</f>
        <v>1.3425925925925926E-2</v>
      </c>
      <c r="AL53" s="11"/>
    </row>
    <row r="54" spans="3:38" ht="13.5" customHeight="1" x14ac:dyDescent="0.15">
      <c r="C54" s="434"/>
      <c r="D54" s="435"/>
      <c r="E54" s="436"/>
      <c r="F54" s="427"/>
      <c r="G54" s="420"/>
      <c r="H54" s="420"/>
      <c r="I54" s="420"/>
      <c r="J54" s="420"/>
      <c r="K54" s="421"/>
      <c r="L54" s="420"/>
      <c r="M54" s="420"/>
      <c r="N54" s="421"/>
      <c r="O54" s="520" t="str">
        <f>IFERROR($U$123,"")</f>
        <v/>
      </c>
      <c r="P54" s="521"/>
      <c r="Q54" s="522" t="str">
        <f>IF(OR(X135=X136,X136="選択"),"","エラー1")</f>
        <v/>
      </c>
      <c r="R54" s="523"/>
      <c r="S54" s="468"/>
      <c r="T54" s="469"/>
      <c r="U54" s="470"/>
      <c r="V54" s="512"/>
      <c r="W54" s="513"/>
      <c r="X54" s="514"/>
      <c r="AA54" s="313" t="s">
        <v>116</v>
      </c>
      <c r="AB54" s="272" t="s">
        <v>33</v>
      </c>
      <c r="AC54" s="266">
        <v>96</v>
      </c>
      <c r="AD54" s="118"/>
      <c r="AE54" s="112"/>
      <c r="AF54" s="266">
        <v>61</v>
      </c>
      <c r="AG54" s="112"/>
      <c r="AH54" s="264"/>
      <c r="AI54" s="112"/>
      <c r="AJ54" s="152"/>
      <c r="AK54" s="269">
        <v>946</v>
      </c>
      <c r="AL54" s="11"/>
    </row>
    <row r="55" spans="3:38" ht="13.5" customHeight="1" x14ac:dyDescent="0.15">
      <c r="C55" s="446" t="s">
        <v>55</v>
      </c>
      <c r="D55" s="447"/>
      <c r="E55" s="448"/>
      <c r="F55" s="428" t="str">
        <f>E94</f>
        <v>MWSレポート</v>
      </c>
      <c r="G55" s="429"/>
      <c r="H55" s="429"/>
      <c r="I55" s="429"/>
      <c r="J55" s="429"/>
      <c r="K55" s="430"/>
      <c r="L55" s="422"/>
      <c r="M55" s="423"/>
      <c r="N55" s="423"/>
      <c r="O55" s="423"/>
      <c r="P55" s="423"/>
      <c r="Q55" s="423"/>
      <c r="R55" s="423"/>
      <c r="S55" s="471" t="str">
        <f>IF(C94=1,C32,"")</f>
        <v>11月12日</v>
      </c>
      <c r="T55" s="472"/>
      <c r="U55" s="473"/>
      <c r="V55" s="515">
        <v>0.625</v>
      </c>
      <c r="W55" s="516"/>
      <c r="X55" s="517"/>
      <c r="AA55" s="314"/>
      <c r="AB55" s="51" t="s">
        <v>80</v>
      </c>
      <c r="AC55" s="57">
        <f>AC54*0.5/86400</f>
        <v>5.5555555555555556E-4</v>
      </c>
      <c r="AD55" s="110"/>
      <c r="AE55" s="46"/>
      <c r="AF55" s="57">
        <f t="shared" ref="AF55:AK55" si="58">AF54*0.5/86400</f>
        <v>3.5300925925925924E-4</v>
      </c>
      <c r="AG55" s="110"/>
      <c r="AH55" s="153"/>
      <c r="AI55" s="110"/>
      <c r="AJ55" s="57"/>
      <c r="AK55" s="46">
        <f t="shared" si="58"/>
        <v>5.4745370370370373E-3</v>
      </c>
      <c r="AL55" s="11"/>
    </row>
    <row r="56" spans="3:38" ht="13.5" customHeight="1" x14ac:dyDescent="0.15">
      <c r="C56" s="449" t="s">
        <v>24</v>
      </c>
      <c r="D56" s="423"/>
      <c r="E56" s="450"/>
      <c r="F56" s="427"/>
      <c r="G56" s="420"/>
      <c r="H56" s="420"/>
      <c r="I56" s="420"/>
      <c r="J56" s="420"/>
      <c r="K56" s="421"/>
      <c r="L56" s="420"/>
      <c r="M56" s="420"/>
      <c r="N56" s="421"/>
      <c r="O56" s="520" t="str">
        <f>IFERROR(IF(AND(X112=4,X125&gt;40),"40",IF(AND(X112=5,X125&gt;60),"60",X125)),"")</f>
        <v/>
      </c>
      <c r="P56" s="521"/>
      <c r="Q56" s="279"/>
      <c r="R56" s="210"/>
      <c r="S56" s="474" t="str">
        <f>IF(C94=1,C27,C32)</f>
        <v>11月11日</v>
      </c>
      <c r="T56" s="475"/>
      <c r="U56" s="476"/>
      <c r="V56" s="509">
        <v>0.625</v>
      </c>
      <c r="W56" s="510"/>
      <c r="X56" s="511"/>
      <c r="AA56" s="314"/>
      <c r="AB56" s="108" t="s">
        <v>151</v>
      </c>
      <c r="AC56" s="57">
        <f>AC54*0.75/86400</f>
        <v>8.3333333333333339E-4</v>
      </c>
      <c r="AD56" s="110"/>
      <c r="AE56" s="46"/>
      <c r="AF56" s="57">
        <f t="shared" ref="AF56:AK56" si="59">AF54*0.75/86400</f>
        <v>5.2951388888888894E-4</v>
      </c>
      <c r="AG56" s="110"/>
      <c r="AH56" s="57"/>
      <c r="AI56" s="110"/>
      <c r="AJ56" s="57"/>
      <c r="AK56" s="46">
        <f t="shared" si="59"/>
        <v>8.2118055555555555E-3</v>
      </c>
      <c r="AL56" s="11"/>
    </row>
    <row r="57" spans="3:38" ht="13.5" customHeight="1" x14ac:dyDescent="0.15">
      <c r="C57" s="449"/>
      <c r="D57" s="423"/>
      <c r="E57" s="450"/>
      <c r="F57" s="427"/>
      <c r="G57" s="420"/>
      <c r="H57" s="420"/>
      <c r="I57" s="420"/>
      <c r="J57" s="420"/>
      <c r="K57" s="421"/>
      <c r="L57" s="420"/>
      <c r="M57" s="420"/>
      <c r="N57" s="421"/>
      <c r="O57" s="520" t="str">
        <f>IFERROR(IF(AND(X113=4,U127&gt;40),"40",IF(AND(X113=5,U127&gt;60),"60",U127)),"")</f>
        <v/>
      </c>
      <c r="P57" s="521"/>
      <c r="Q57" s="524" t="str">
        <f>IF(OR(X137=X138,X138="選択"),"","エラー2")</f>
        <v/>
      </c>
      <c r="R57" s="525" t="str">
        <f t="shared" ref="R57" si="60">IF(OR(AC131=AC132,AC132="選択"),"","タスクＤ：タスクの内容をそろえてください。")</f>
        <v/>
      </c>
      <c r="S57" s="477"/>
      <c r="T57" s="478"/>
      <c r="U57" s="479"/>
      <c r="V57" s="512"/>
      <c r="W57" s="513"/>
      <c r="X57" s="514"/>
      <c r="AA57" s="314"/>
      <c r="AB57" s="51" t="s">
        <v>34</v>
      </c>
      <c r="AC57" s="57">
        <f>AC54*1/86400</f>
        <v>1.1111111111111111E-3</v>
      </c>
      <c r="AD57" s="110"/>
      <c r="AE57" s="46"/>
      <c r="AF57" s="57">
        <f t="shared" ref="AF57:AK57" si="61">AF54*1/86400</f>
        <v>7.0601851851851847E-4</v>
      </c>
      <c r="AG57" s="110"/>
      <c r="AH57" s="57"/>
      <c r="AI57" s="110"/>
      <c r="AJ57" s="57"/>
      <c r="AK57" s="46">
        <f t="shared" si="61"/>
        <v>1.0949074074074075E-2</v>
      </c>
    </row>
    <row r="58" spans="3:38" ht="13.5" customHeight="1" x14ac:dyDescent="0.15">
      <c r="C58" s="434" t="s">
        <v>56</v>
      </c>
      <c r="D58" s="435"/>
      <c r="E58" s="436"/>
      <c r="F58" s="428" t="str">
        <f>E95</f>
        <v>社内報原稿</v>
      </c>
      <c r="G58" s="429"/>
      <c r="H58" s="429"/>
      <c r="I58" s="429"/>
      <c r="J58" s="429"/>
      <c r="K58" s="430"/>
      <c r="L58" s="424"/>
      <c r="M58" s="425"/>
      <c r="N58" s="425"/>
      <c r="O58" s="425"/>
      <c r="P58" s="425"/>
      <c r="Q58" s="425"/>
      <c r="R58" s="425"/>
      <c r="S58" s="480" t="str">
        <f t="shared" ref="S58" si="62">$C$32</f>
        <v>11月12日</v>
      </c>
      <c r="T58" s="481"/>
      <c r="U58" s="482"/>
      <c r="V58" s="515">
        <v>0.625</v>
      </c>
      <c r="W58" s="516"/>
      <c r="X58" s="517"/>
      <c r="AA58" s="314"/>
      <c r="AB58" s="51" t="s">
        <v>152</v>
      </c>
      <c r="AC58" s="57">
        <f>AC54*1.25/86400</f>
        <v>1.3888888888888889E-3</v>
      </c>
      <c r="AD58" s="110"/>
      <c r="AE58" s="46"/>
      <c r="AF58" s="57">
        <f t="shared" ref="AF58:AK58" si="63">AF54*1.25/86400</f>
        <v>8.8252314814814812E-4</v>
      </c>
      <c r="AG58" s="110"/>
      <c r="AH58" s="57"/>
      <c r="AI58" s="110"/>
      <c r="AJ58" s="57"/>
      <c r="AK58" s="46">
        <f t="shared" si="63"/>
        <v>1.3686342592592592E-2</v>
      </c>
    </row>
    <row r="59" spans="3:38" ht="13.5" customHeight="1" x14ac:dyDescent="0.15">
      <c r="C59" s="434" t="s">
        <v>57</v>
      </c>
      <c r="D59" s="435"/>
      <c r="E59" s="436"/>
      <c r="F59" s="427"/>
      <c r="G59" s="420"/>
      <c r="H59" s="420"/>
      <c r="I59" s="420"/>
      <c r="J59" s="420"/>
      <c r="K59" s="421"/>
      <c r="L59" s="518"/>
      <c r="M59" s="519"/>
      <c r="N59" s="519"/>
      <c r="O59" s="519"/>
      <c r="P59" s="519"/>
      <c r="Q59" s="519"/>
      <c r="R59" s="519"/>
      <c r="S59" s="498" t="str">
        <f>IFERROR(VLOOKUP(F59,タスクF,2,FALSE),"")</f>
        <v/>
      </c>
      <c r="T59" s="498"/>
      <c r="U59" s="498"/>
      <c r="V59" s="498"/>
      <c r="W59" s="498"/>
      <c r="X59" s="499"/>
      <c r="AA59" s="314"/>
      <c r="AB59" s="51" t="s">
        <v>35</v>
      </c>
      <c r="AC59" s="57">
        <f>AC54*1.5/86400</f>
        <v>1.6666666666666668E-3</v>
      </c>
      <c r="AD59" s="110"/>
      <c r="AE59" s="46"/>
      <c r="AF59" s="57">
        <f t="shared" ref="AF59:AK59" si="64">AF54*1.5/86400</f>
        <v>1.0590277777777779E-3</v>
      </c>
      <c r="AG59" s="110"/>
      <c r="AH59" s="57"/>
      <c r="AI59" s="110"/>
      <c r="AJ59" s="57"/>
      <c r="AK59" s="46">
        <f t="shared" si="64"/>
        <v>1.6423611111111111E-2</v>
      </c>
    </row>
    <row r="60" spans="3:38" ht="13.5" customHeight="1" x14ac:dyDescent="0.15">
      <c r="C60" s="446" t="s">
        <v>25</v>
      </c>
      <c r="D60" s="447"/>
      <c r="E60" s="448"/>
      <c r="F60" s="427"/>
      <c r="G60" s="420"/>
      <c r="H60" s="420"/>
      <c r="I60" s="420"/>
      <c r="J60" s="420"/>
      <c r="K60" s="421"/>
      <c r="L60" s="420"/>
      <c r="M60" s="420"/>
      <c r="N60" s="420"/>
      <c r="O60" s="520" t="str">
        <f>IFERROR(IF(AND(X114=1,X129&gt;5),"5",IF(AND(X114=2,X129&gt;20),"20",IF(AND(X114=3,X129&gt;15),"15",X129))),"")</f>
        <v/>
      </c>
      <c r="P60" s="521"/>
      <c r="Q60" s="279"/>
      <c r="R60" s="209"/>
      <c r="S60" s="500" t="s">
        <v>234</v>
      </c>
      <c r="T60" s="500"/>
      <c r="U60" s="500"/>
      <c r="V60" s="501" t="s">
        <v>227</v>
      </c>
      <c r="W60" s="501"/>
      <c r="X60" s="502"/>
      <c r="AA60" s="314"/>
      <c r="AB60" s="142" t="s">
        <v>153</v>
      </c>
      <c r="AC60" s="145">
        <f>AC54*1.75/86400</f>
        <v>1.9444444444444444E-3</v>
      </c>
      <c r="AD60" s="146"/>
      <c r="AE60" s="47"/>
      <c r="AF60" s="145">
        <f t="shared" ref="AF60:AK60" si="65">AF54*1.75/86400</f>
        <v>1.2355324074074074E-3</v>
      </c>
      <c r="AG60" s="146"/>
      <c r="AH60" s="145"/>
      <c r="AI60" s="146"/>
      <c r="AJ60" s="145"/>
      <c r="AK60" s="47">
        <f t="shared" si="65"/>
        <v>1.9160879629629628E-2</v>
      </c>
    </row>
    <row r="61" spans="3:38" ht="13.5" customHeight="1" x14ac:dyDescent="0.15">
      <c r="C61" s="451"/>
      <c r="D61" s="452"/>
      <c r="E61" s="453"/>
      <c r="F61" s="454"/>
      <c r="G61" s="417"/>
      <c r="H61" s="417"/>
      <c r="I61" s="417"/>
      <c r="J61" s="417"/>
      <c r="K61" s="455"/>
      <c r="L61" s="417"/>
      <c r="M61" s="417"/>
      <c r="N61" s="417"/>
      <c r="O61" s="526" t="str">
        <f>IFERROR(IF(AND(X115=1,U131&gt;5),"5",IF(AND(X115=2,U131&gt;20),"20",IF(AND(X115=3,U131&gt;15),"15",U131))),"")</f>
        <v/>
      </c>
      <c r="P61" s="527"/>
      <c r="Q61" s="528" t="str">
        <f>IF(OR(X139=X140,X140="　　選"),"","エラー3")</f>
        <v/>
      </c>
      <c r="R61" s="529"/>
      <c r="S61" s="395" t="str">
        <f>$C$17</f>
        <v>11月9日</v>
      </c>
      <c r="T61" s="395"/>
      <c r="U61" s="395"/>
      <c r="V61" s="395" t="str">
        <f t="shared" ref="V61" si="66">$C$22</f>
        <v>11月10日</v>
      </c>
      <c r="W61" s="395"/>
      <c r="X61" s="396"/>
      <c r="AA61" s="314"/>
      <c r="AB61" s="52" t="s">
        <v>36</v>
      </c>
      <c r="AC61" s="58">
        <f>AC54*2/86400</f>
        <v>2.2222222222222222E-3</v>
      </c>
      <c r="AD61" s="111"/>
      <c r="AE61" s="49"/>
      <c r="AF61" s="58">
        <f t="shared" ref="AF61:AK61" si="67">AF54*2/86400</f>
        <v>1.4120370370370369E-3</v>
      </c>
      <c r="AG61" s="111"/>
      <c r="AH61" s="58"/>
      <c r="AI61" s="111"/>
      <c r="AJ61" s="58"/>
      <c r="AK61" s="49">
        <f t="shared" si="67"/>
        <v>2.1898148148148149E-2</v>
      </c>
    </row>
    <row r="62" spans="3:38" ht="13.5" customHeight="1" x14ac:dyDescent="0.15">
      <c r="E62" s="30"/>
      <c r="F62" s="157" t="s">
        <v>325</v>
      </c>
      <c r="G62" s="30"/>
      <c r="H62" s="30"/>
      <c r="I62" s="30"/>
      <c r="J62" s="30"/>
      <c r="K62" s="30"/>
      <c r="L62" s="30"/>
      <c r="M62" s="280" t="str">
        <f>IF(OR(X135=X136,X136="選択"),"","エラー1：タスクBは同じ課題を選択してください")</f>
        <v/>
      </c>
      <c r="N62" s="30"/>
      <c r="P62" s="30"/>
      <c r="Q62" s="30"/>
      <c r="R62" s="30"/>
      <c r="S62" s="30"/>
      <c r="T62" s="30"/>
      <c r="U62" s="30"/>
      <c r="V62" s="30"/>
      <c r="W62" s="30"/>
      <c r="X62" s="30"/>
      <c r="Y62" s="30"/>
      <c r="AA62" s="313" t="s">
        <v>117</v>
      </c>
      <c r="AB62" s="273" t="s">
        <v>33</v>
      </c>
      <c r="AC62" s="266">
        <v>109</v>
      </c>
      <c r="AD62" s="118"/>
      <c r="AE62" s="112"/>
      <c r="AF62" s="266">
        <v>72</v>
      </c>
      <c r="AG62" s="112"/>
      <c r="AH62" s="152"/>
      <c r="AI62" s="112"/>
      <c r="AJ62" s="152"/>
      <c r="AK62" s="115"/>
    </row>
    <row r="63" spans="3:38" ht="13.5" customHeight="1" x14ac:dyDescent="0.15">
      <c r="E63" s="30"/>
      <c r="F63" s="157"/>
      <c r="G63" s="30"/>
      <c r="H63" s="30"/>
      <c r="I63" s="30"/>
      <c r="J63" s="30"/>
      <c r="K63" s="30"/>
      <c r="L63" s="30"/>
      <c r="M63" s="280" t="str">
        <f>IF(OR(X137=X138,X138="選択"),"","エラー2：タスクＤは同じ課題を選択してください")</f>
        <v/>
      </c>
      <c r="N63" s="30"/>
      <c r="O63" s="30"/>
      <c r="P63" s="30"/>
      <c r="Q63" s="30"/>
      <c r="R63" s="30"/>
      <c r="S63" s="30"/>
      <c r="T63" s="30"/>
      <c r="U63" s="30"/>
      <c r="V63" s="30"/>
      <c r="W63" s="30"/>
      <c r="X63" s="30"/>
      <c r="Y63" s="30"/>
      <c r="AA63" s="314"/>
      <c r="AB63" s="51" t="s">
        <v>80</v>
      </c>
      <c r="AC63" s="57">
        <f>AC62*0.5/86400</f>
        <v>6.3078703703703702E-4</v>
      </c>
      <c r="AD63" s="110"/>
      <c r="AE63" s="46"/>
      <c r="AF63" s="57">
        <f t="shared" ref="AF63" si="68">AF62*0.5/86400</f>
        <v>4.1666666666666669E-4</v>
      </c>
      <c r="AG63" s="53"/>
      <c r="AH63" s="153"/>
      <c r="AI63" s="113"/>
      <c r="AJ63" s="153"/>
      <c r="AK63" s="116"/>
    </row>
    <row r="64" spans="3:38" ht="13.5" customHeight="1" x14ac:dyDescent="0.15">
      <c r="E64" s="30"/>
      <c r="F64" s="157"/>
      <c r="G64" s="30"/>
      <c r="H64" s="30"/>
      <c r="I64" s="30"/>
      <c r="J64" s="30"/>
      <c r="K64" s="30"/>
      <c r="L64" s="30"/>
      <c r="M64" s="280" t="str">
        <f>IF(OR(X139=X140,X140="　　選"),"","エラー3：タスクＧは同じ課題を選択してください")</f>
        <v/>
      </c>
      <c r="N64" s="30"/>
      <c r="O64" s="30"/>
      <c r="P64" s="30"/>
      <c r="Q64" s="30"/>
      <c r="R64" s="30"/>
      <c r="S64" s="30"/>
      <c r="T64" s="30"/>
      <c r="U64" s="30"/>
      <c r="V64" s="30"/>
      <c r="W64" s="30"/>
      <c r="X64" s="30"/>
      <c r="Y64" s="30"/>
      <c r="AA64" s="314"/>
      <c r="AB64" s="108" t="s">
        <v>151</v>
      </c>
      <c r="AC64" s="57">
        <f>AC62*0.75/86400</f>
        <v>9.4618055555555558E-4</v>
      </c>
      <c r="AD64" s="110"/>
      <c r="AE64" s="46"/>
      <c r="AF64" s="57">
        <f t="shared" ref="AF64" si="69">AF62*0.75/86400</f>
        <v>6.2500000000000001E-4</v>
      </c>
      <c r="AG64" s="53"/>
      <c r="AH64" s="153"/>
      <c r="AI64" s="113"/>
      <c r="AJ64" s="153"/>
      <c r="AK64" s="116"/>
    </row>
    <row r="65" spans="1:47" ht="13.5" customHeight="1" x14ac:dyDescent="0.15">
      <c r="E65" s="30"/>
      <c r="F65" s="157"/>
      <c r="G65" s="30"/>
      <c r="H65" s="30"/>
      <c r="I65" s="30"/>
      <c r="J65" s="30"/>
      <c r="K65" s="30"/>
      <c r="L65" s="30"/>
      <c r="M65" s="30"/>
      <c r="N65" s="30"/>
      <c r="O65" s="30"/>
      <c r="P65" s="30"/>
      <c r="Q65" s="30"/>
      <c r="R65" s="30"/>
      <c r="S65" s="30"/>
      <c r="T65" s="30"/>
      <c r="U65" s="30"/>
      <c r="V65" s="30"/>
      <c r="W65" s="30"/>
      <c r="X65" s="30"/>
      <c r="Y65" s="30"/>
      <c r="AA65" s="314"/>
      <c r="AB65" s="51" t="s">
        <v>34</v>
      </c>
      <c r="AC65" s="57">
        <f>AC62*1/86400</f>
        <v>1.261574074074074E-3</v>
      </c>
      <c r="AD65" s="110"/>
      <c r="AE65" s="46"/>
      <c r="AF65" s="57">
        <f t="shared" ref="AF65" si="70">AF62*1/86400</f>
        <v>8.3333333333333339E-4</v>
      </c>
      <c r="AG65" s="53"/>
      <c r="AH65" s="153"/>
      <c r="AI65" s="113"/>
      <c r="AJ65" s="153"/>
      <c r="AK65" s="116"/>
    </row>
    <row r="66" spans="1:47" ht="13.5" customHeight="1" x14ac:dyDescent="0.15">
      <c r="E66" s="30"/>
      <c r="F66" s="157"/>
      <c r="G66" s="30"/>
      <c r="H66" s="30"/>
      <c r="I66" s="30"/>
      <c r="J66" s="30"/>
      <c r="K66" s="30"/>
      <c r="L66" s="30"/>
      <c r="M66" s="30"/>
      <c r="N66" s="30"/>
      <c r="O66" s="30"/>
      <c r="P66" s="30"/>
      <c r="Q66" s="30"/>
      <c r="R66" s="30"/>
      <c r="S66" s="30"/>
      <c r="T66" s="30"/>
      <c r="U66" s="30"/>
      <c r="V66" s="30"/>
      <c r="W66" s="30"/>
      <c r="X66" s="30"/>
      <c r="Y66" s="30"/>
      <c r="AA66" s="314"/>
      <c r="AB66" s="51" t="s">
        <v>152</v>
      </c>
      <c r="AC66" s="57">
        <f>AC62*1.25/86400</f>
        <v>1.5769675925925927E-3</v>
      </c>
      <c r="AD66" s="110"/>
      <c r="AE66" s="46"/>
      <c r="AF66" s="57">
        <f t="shared" ref="AF66" si="71">AF62*1.25/86400</f>
        <v>1.0416666666666667E-3</v>
      </c>
      <c r="AG66" s="53"/>
      <c r="AH66" s="153"/>
      <c r="AI66" s="113"/>
      <c r="AJ66" s="153"/>
      <c r="AK66" s="116"/>
    </row>
    <row r="67" spans="1:47" ht="13.5" customHeight="1" x14ac:dyDescent="0.15">
      <c r="E67" s="30"/>
      <c r="F67" s="157"/>
      <c r="G67" s="30"/>
      <c r="H67" s="30"/>
      <c r="I67" s="30"/>
      <c r="J67" s="30"/>
      <c r="K67" s="30"/>
      <c r="L67" s="30"/>
      <c r="M67" s="30"/>
      <c r="N67" s="30"/>
      <c r="O67" s="30"/>
      <c r="P67" s="30"/>
      <c r="Q67" s="30"/>
      <c r="R67" s="30"/>
      <c r="S67" s="30"/>
      <c r="T67" s="30"/>
      <c r="U67" s="30"/>
      <c r="V67" s="30"/>
      <c r="W67" s="30"/>
      <c r="X67" s="30"/>
      <c r="Y67" s="30"/>
      <c r="AA67" s="314"/>
      <c r="AB67" s="51" t="s">
        <v>35</v>
      </c>
      <c r="AC67" s="57">
        <f>AC62*1.5/86400</f>
        <v>1.8923611111111112E-3</v>
      </c>
      <c r="AD67" s="110"/>
      <c r="AE67" s="46"/>
      <c r="AF67" s="57">
        <f t="shared" ref="AF67" si="72">AF62*1.5/86400</f>
        <v>1.25E-3</v>
      </c>
      <c r="AG67" s="53"/>
      <c r="AH67" s="153"/>
      <c r="AI67" s="113"/>
      <c r="AJ67" s="153"/>
      <c r="AK67" s="116"/>
    </row>
    <row r="68" spans="1:47" ht="13.5" customHeight="1" x14ac:dyDescent="0.15">
      <c r="A68" s="157"/>
      <c r="E68" s="157"/>
      <c r="F68" s="157"/>
      <c r="G68" s="157"/>
      <c r="H68" s="157"/>
      <c r="I68" s="157"/>
      <c r="J68" s="157"/>
      <c r="K68" s="157"/>
      <c r="L68" s="157"/>
      <c r="M68" s="157"/>
      <c r="N68" s="157"/>
      <c r="O68" s="157"/>
      <c r="P68" s="157"/>
      <c r="Q68" s="157"/>
      <c r="R68" s="157"/>
      <c r="S68" s="157"/>
      <c r="T68" s="157"/>
      <c r="U68" s="157"/>
      <c r="V68" s="157"/>
      <c r="W68" s="157"/>
      <c r="X68" s="157"/>
      <c r="Y68" s="157"/>
      <c r="Z68" s="30"/>
      <c r="AA68" s="314"/>
      <c r="AB68" s="142" t="s">
        <v>153</v>
      </c>
      <c r="AC68" s="145">
        <f>AC62*1.75/86400</f>
        <v>2.2077546296296298E-3</v>
      </c>
      <c r="AD68" s="146"/>
      <c r="AE68" s="47"/>
      <c r="AF68" s="145">
        <f t="shared" ref="AF68" si="73">AF62*1.75/86400</f>
        <v>1.4583333333333334E-3</v>
      </c>
      <c r="AG68" s="147"/>
      <c r="AH68" s="153"/>
      <c r="AI68" s="113"/>
      <c r="AJ68" s="153"/>
      <c r="AK68" s="116"/>
    </row>
    <row r="69" spans="1:47" ht="13.5" customHeight="1" x14ac:dyDescent="0.15">
      <c r="A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315"/>
      <c r="AB69" s="52" t="s">
        <v>36</v>
      </c>
      <c r="AC69" s="58">
        <f>AC62*2/86400</f>
        <v>2.5231481481481481E-3</v>
      </c>
      <c r="AD69" s="111"/>
      <c r="AE69" s="49"/>
      <c r="AF69" s="58">
        <f t="shared" ref="AF69" si="74">AF62*2/86400</f>
        <v>1.6666666666666668E-3</v>
      </c>
      <c r="AG69" s="54"/>
      <c r="AH69" s="154"/>
      <c r="AI69" s="114"/>
      <c r="AJ69" s="154"/>
      <c r="AK69" s="117"/>
    </row>
    <row r="70" spans="1:47" ht="13.5" customHeight="1" x14ac:dyDescent="0.15">
      <c r="Z70" s="157"/>
      <c r="AA70" s="265"/>
      <c r="AC70" s="284" t="s">
        <v>373</v>
      </c>
      <c r="AD70" s="284" t="s">
        <v>374</v>
      </c>
      <c r="AE70" s="284" t="s">
        <v>375</v>
      </c>
      <c r="AF70" s="284" t="s">
        <v>375</v>
      </c>
      <c r="AG70" s="284" t="s">
        <v>376</v>
      </c>
      <c r="AH70" s="284" t="s">
        <v>377</v>
      </c>
      <c r="AI70" s="284" t="s">
        <v>376</v>
      </c>
      <c r="AJ70" s="284" t="s">
        <v>376</v>
      </c>
      <c r="AK70" s="285" t="s">
        <v>378</v>
      </c>
    </row>
    <row r="73" spans="1:47" ht="13.5" hidden="1" customHeight="1" x14ac:dyDescent="0.15">
      <c r="A73" s="1" t="s">
        <v>66</v>
      </c>
      <c r="AC73" s="8"/>
      <c r="AD73" s="6"/>
      <c r="AE73" s="6"/>
      <c r="AF73" s="6"/>
      <c r="AG73" s="6"/>
      <c r="AH73" s="8"/>
      <c r="AI73" s="8"/>
      <c r="AJ73" s="8"/>
      <c r="AK73" s="8"/>
    </row>
    <row r="74" spans="1:47" ht="13.5" hidden="1" customHeight="1" x14ac:dyDescent="0.15">
      <c r="C74" s="30"/>
      <c r="D74" s="30"/>
      <c r="E74" s="30"/>
      <c r="G74" s="19"/>
      <c r="AA74" s="271"/>
      <c r="AB74" s="1" t="s">
        <v>344</v>
      </c>
      <c r="AE74" s="8"/>
      <c r="AF74" s="8"/>
      <c r="AG74" s="8"/>
      <c r="AH74" s="8"/>
      <c r="AI74" s="8"/>
      <c r="AJ74" s="8"/>
      <c r="AK74" s="8"/>
      <c r="AL74" s="8"/>
      <c r="AM74" s="8"/>
      <c r="AN74" s="8"/>
      <c r="AO74" s="8"/>
      <c r="AP74" s="8"/>
      <c r="AQ74" s="8"/>
      <c r="AR74" s="8"/>
      <c r="AS74" s="8"/>
      <c r="AT74" s="8"/>
      <c r="AU74" s="8"/>
    </row>
    <row r="75" spans="1:47" ht="13.5" hidden="1" customHeight="1" x14ac:dyDescent="0.15">
      <c r="B75" s="1" t="s">
        <v>67</v>
      </c>
      <c r="C75" s="30"/>
      <c r="D75" s="30"/>
      <c r="E75" s="30"/>
      <c r="F75" s="19"/>
      <c r="G75" s="19"/>
      <c r="I75" s="1" t="s">
        <v>69</v>
      </c>
      <c r="Q75" s="1" t="s">
        <v>158</v>
      </c>
      <c r="V75" s="26"/>
      <c r="W75" s="26"/>
      <c r="AA75" s="42"/>
      <c r="AB75" s="1" t="s">
        <v>345</v>
      </c>
      <c r="AE75" s="8"/>
      <c r="AF75" s="8"/>
      <c r="AG75" s="8"/>
      <c r="AH75" s="182"/>
      <c r="AI75" s="182"/>
      <c r="AJ75" s="8"/>
      <c r="AK75" s="8"/>
      <c r="AL75" s="8"/>
      <c r="AM75" s="8"/>
      <c r="AN75" s="8"/>
      <c r="AO75" s="8"/>
      <c r="AP75" s="8"/>
      <c r="AQ75" s="8"/>
      <c r="AR75" s="8"/>
      <c r="AS75" s="8"/>
      <c r="AT75" s="8"/>
      <c r="AU75" s="8"/>
    </row>
    <row r="76" spans="1:47" ht="13.5" hidden="1" customHeight="1" x14ac:dyDescent="0.15">
      <c r="B76" s="9">
        <f>C76*24*60</f>
        <v>640.00000000000023</v>
      </c>
      <c r="C76" s="457">
        <f>J37+Q37</f>
        <v>0.44444444444444464</v>
      </c>
      <c r="D76" s="458"/>
      <c r="E76" s="458"/>
      <c r="I76" s="1" t="s">
        <v>43</v>
      </c>
      <c r="M76" s="1" t="s">
        <v>44</v>
      </c>
      <c r="Q76" s="426" t="e">
        <f>VLOOKUP(F59,タスクF,3,0)</f>
        <v>#N/A</v>
      </c>
      <c r="R76" s="426"/>
      <c r="S76" s="426"/>
      <c r="T76" s="426"/>
      <c r="U76" s="426"/>
      <c r="V76" s="426"/>
      <c r="W76" s="426"/>
      <c r="X76" s="426"/>
      <c r="AA76" s="286" t="s">
        <v>380</v>
      </c>
      <c r="AC76" s="8"/>
      <c r="AD76" s="8"/>
      <c r="AE76" s="8"/>
      <c r="AF76" s="8"/>
      <c r="AG76" s="8"/>
      <c r="AH76" s="182"/>
      <c r="AI76" s="182"/>
      <c r="AJ76" s="8"/>
      <c r="AK76" s="8"/>
      <c r="AL76" s="8"/>
      <c r="AM76" s="8"/>
      <c r="AN76" s="8"/>
      <c r="AO76" s="8"/>
      <c r="AP76" s="8"/>
      <c r="AQ76" s="8"/>
      <c r="AR76" s="8"/>
      <c r="AS76" s="8"/>
      <c r="AT76" s="8"/>
      <c r="AU76" s="8"/>
    </row>
    <row r="77" spans="1:47" ht="13.5" hidden="1" customHeight="1" x14ac:dyDescent="0.15">
      <c r="J77" s="26"/>
      <c r="K77" s="26"/>
      <c r="L77" s="31" t="s">
        <v>102</v>
      </c>
      <c r="M77" s="27">
        <v>5</v>
      </c>
      <c r="AA77" s="286" t="s">
        <v>379</v>
      </c>
      <c r="AD77" s="8"/>
      <c r="AE77" s="8"/>
      <c r="AF77" s="8"/>
      <c r="AG77" s="8"/>
      <c r="AH77" s="182"/>
      <c r="AI77" s="182"/>
      <c r="AJ77" s="8"/>
      <c r="AK77" s="8"/>
      <c r="AL77" s="8"/>
      <c r="AM77" s="8"/>
      <c r="AN77" s="8"/>
      <c r="AO77" s="8"/>
      <c r="AP77" s="8"/>
      <c r="AQ77" s="8"/>
      <c r="AR77" s="8"/>
      <c r="AS77" s="8"/>
      <c r="AT77" s="8"/>
      <c r="AU77" s="8"/>
    </row>
    <row r="78" spans="1:47" ht="13.5" hidden="1" customHeight="1" x14ac:dyDescent="0.15">
      <c r="B78" s="1" t="s">
        <v>68</v>
      </c>
      <c r="J78" s="26"/>
      <c r="K78" s="26"/>
      <c r="L78" s="31" t="s">
        <v>346</v>
      </c>
      <c r="M78" s="27">
        <v>5</v>
      </c>
      <c r="AA78" s="286" t="s">
        <v>381</v>
      </c>
      <c r="AD78" s="8"/>
      <c r="AE78" s="8"/>
      <c r="AF78" s="8"/>
      <c r="AG78" s="8"/>
      <c r="AH78" s="182"/>
      <c r="AI78" s="182"/>
      <c r="AJ78" s="8"/>
      <c r="AK78" s="8"/>
      <c r="AL78" s="182"/>
      <c r="AM78" s="182"/>
      <c r="AN78" s="177"/>
      <c r="AO78" s="177"/>
      <c r="AP78" s="178"/>
      <c r="AQ78" s="178"/>
      <c r="AR78" s="182"/>
      <c r="AS78" s="182"/>
      <c r="AT78" s="182"/>
      <c r="AU78" s="182"/>
    </row>
    <row r="79" spans="1:47" ht="13.5" hidden="1" customHeight="1" x14ac:dyDescent="0.15">
      <c r="B79" s="456">
        <f>L7-L6</f>
        <v>6.25E-2</v>
      </c>
      <c r="C79" s="456"/>
      <c r="D79" s="456"/>
      <c r="J79" s="26"/>
      <c r="K79" s="26"/>
      <c r="L79" s="31" t="s">
        <v>103</v>
      </c>
      <c r="M79" s="27">
        <v>25</v>
      </c>
      <c r="Q79" s="1" t="s">
        <v>132</v>
      </c>
      <c r="R79" s="1" t="s">
        <v>112</v>
      </c>
      <c r="S79" s="1" t="s">
        <v>113</v>
      </c>
      <c r="AA79" s="286" t="s">
        <v>382</v>
      </c>
      <c r="AD79" s="184"/>
      <c r="AE79" s="184"/>
      <c r="AF79" s="184"/>
      <c r="AG79" s="184"/>
      <c r="AH79" s="185"/>
      <c r="AI79" s="185"/>
      <c r="AJ79" s="184"/>
      <c r="AK79" s="184"/>
      <c r="AL79" s="182"/>
      <c r="AM79" s="182"/>
      <c r="AN79" s="177"/>
      <c r="AO79" s="177"/>
      <c r="AP79" s="178"/>
      <c r="AQ79" s="178"/>
      <c r="AR79" s="182"/>
      <c r="AS79" s="182"/>
      <c r="AT79" s="182"/>
      <c r="AU79" s="182"/>
    </row>
    <row r="80" spans="1:47" ht="13.5" hidden="1" customHeight="1" x14ac:dyDescent="0.15">
      <c r="B80" s="456">
        <f>S7-S6</f>
        <v>8.333333333333337E-2</v>
      </c>
      <c r="C80" s="456"/>
      <c r="D80" s="456"/>
      <c r="J80" s="26"/>
      <c r="K80" s="26"/>
      <c r="L80" s="31" t="s">
        <v>347</v>
      </c>
      <c r="M80" s="27">
        <v>15</v>
      </c>
      <c r="Q80" s="1" t="s">
        <v>133</v>
      </c>
      <c r="R80" s="1" t="s">
        <v>240</v>
      </c>
      <c r="S80" s="1" t="s">
        <v>241</v>
      </c>
      <c r="AA80" s="286" t="s">
        <v>383</v>
      </c>
      <c r="AD80" s="184"/>
      <c r="AE80" s="184"/>
      <c r="AF80" s="184"/>
      <c r="AG80" s="184"/>
      <c r="AH80" s="185"/>
      <c r="AI80" s="185"/>
      <c r="AJ80" s="184"/>
      <c r="AK80" s="184"/>
      <c r="AL80" s="184"/>
      <c r="AM80" s="184"/>
      <c r="AN80" s="177"/>
      <c r="AO80" s="177"/>
      <c r="AP80" s="178"/>
      <c r="AQ80" s="178"/>
      <c r="AR80" s="184"/>
      <c r="AS80" s="184"/>
      <c r="AT80" s="184"/>
      <c r="AU80" s="184"/>
    </row>
    <row r="81" spans="1:47" ht="13.5" hidden="1" customHeight="1" x14ac:dyDescent="0.15">
      <c r="J81" s="26"/>
      <c r="K81" s="26"/>
      <c r="L81" s="31" t="s">
        <v>104</v>
      </c>
      <c r="M81" s="27">
        <v>5</v>
      </c>
      <c r="AA81" s="286" t="s">
        <v>384</v>
      </c>
      <c r="AD81" s="186"/>
      <c r="AE81" s="181"/>
      <c r="AF81" s="181"/>
      <c r="AG81" s="181"/>
      <c r="AH81" s="183"/>
      <c r="AI81" s="183"/>
      <c r="AJ81" s="186"/>
      <c r="AK81" s="181"/>
      <c r="AL81" s="184"/>
      <c r="AM81" s="184"/>
      <c r="AN81" s="177"/>
      <c r="AO81" s="177"/>
      <c r="AP81" s="178"/>
      <c r="AQ81" s="178"/>
      <c r="AR81" s="184"/>
      <c r="AS81" s="184"/>
      <c r="AT81" s="184"/>
      <c r="AU81" s="184"/>
    </row>
    <row r="82" spans="1:47" ht="13.5" hidden="1" customHeight="1" x14ac:dyDescent="0.15">
      <c r="B82" s="1" t="s">
        <v>238</v>
      </c>
      <c r="J82" s="26"/>
      <c r="K82" s="26"/>
      <c r="L82" s="187" t="s">
        <v>14</v>
      </c>
      <c r="M82" s="283">
        <v>60</v>
      </c>
      <c r="AD82" s="181"/>
      <c r="AE82" s="181"/>
      <c r="AF82" s="181"/>
      <c r="AG82" s="181"/>
      <c r="AH82" s="183"/>
      <c r="AI82" s="183"/>
      <c r="AJ82" s="181"/>
      <c r="AK82" s="181"/>
      <c r="AL82" s="181"/>
      <c r="AM82" s="181"/>
      <c r="AN82" s="186"/>
      <c r="AO82" s="181"/>
      <c r="AP82" s="181"/>
      <c r="AQ82" s="181"/>
      <c r="AR82" s="186"/>
      <c r="AS82" s="181"/>
      <c r="AT82" s="181"/>
      <c r="AU82" s="181"/>
    </row>
    <row r="83" spans="1:47" ht="13.5" hidden="1" customHeight="1" x14ac:dyDescent="0.15">
      <c r="B83" s="1" t="s">
        <v>251</v>
      </c>
      <c r="J83" s="26"/>
      <c r="K83" s="26"/>
      <c r="L83" s="187" t="s">
        <v>39</v>
      </c>
      <c r="M83" s="283">
        <v>80</v>
      </c>
      <c r="V83" s="30"/>
      <c r="AD83" s="180"/>
      <c r="AE83" s="180"/>
      <c r="AF83" s="180"/>
      <c r="AG83" s="180"/>
      <c r="AH83" s="179"/>
      <c r="AI83" s="179"/>
      <c r="AJ83" s="180"/>
      <c r="AK83" s="180"/>
      <c r="AL83" s="181"/>
      <c r="AM83" s="181"/>
      <c r="AN83" s="181"/>
      <c r="AO83" s="181"/>
      <c r="AP83" s="181"/>
      <c r="AQ83" s="181"/>
      <c r="AR83" s="181"/>
      <c r="AS83" s="181"/>
      <c r="AT83" s="181"/>
      <c r="AU83" s="181"/>
    </row>
    <row r="84" spans="1:47" ht="13.5" hidden="1" customHeight="1" x14ac:dyDescent="0.15">
      <c r="B84" s="1" t="s">
        <v>252</v>
      </c>
      <c r="J84" s="26"/>
      <c r="K84" s="26"/>
      <c r="L84" s="187" t="s">
        <v>18</v>
      </c>
      <c r="M84" s="283">
        <v>60</v>
      </c>
      <c r="AD84" s="180"/>
      <c r="AE84" s="180"/>
      <c r="AF84" s="180"/>
      <c r="AG84" s="180"/>
      <c r="AH84" s="179"/>
      <c r="AI84" s="179"/>
      <c r="AJ84" s="180"/>
      <c r="AK84" s="180"/>
      <c r="AL84" s="180"/>
      <c r="AM84" s="180"/>
      <c r="AN84" s="180"/>
      <c r="AO84" s="180"/>
      <c r="AP84" s="180"/>
      <c r="AQ84" s="180"/>
      <c r="AR84" s="180"/>
      <c r="AS84" s="180"/>
      <c r="AT84" s="180"/>
      <c r="AU84" s="180"/>
    </row>
    <row r="85" spans="1:47" ht="13.5" hidden="1" customHeight="1" x14ac:dyDescent="0.15">
      <c r="B85" s="1" t="s">
        <v>253</v>
      </c>
      <c r="J85" s="26"/>
      <c r="K85" s="26"/>
      <c r="L85" s="187" t="s">
        <v>16</v>
      </c>
      <c r="M85" s="283">
        <v>80</v>
      </c>
      <c r="AK85" s="1"/>
      <c r="AL85" s="180"/>
      <c r="AM85" s="180"/>
      <c r="AN85" s="180"/>
      <c r="AO85" s="180"/>
      <c r="AP85" s="180"/>
      <c r="AQ85" s="180"/>
      <c r="AR85" s="180"/>
      <c r="AS85" s="180"/>
      <c r="AT85" s="180"/>
      <c r="AU85" s="180"/>
    </row>
    <row r="86" spans="1:47" ht="13.5" hidden="1" customHeight="1" x14ac:dyDescent="0.15">
      <c r="B86" s="1" t="s">
        <v>254</v>
      </c>
      <c r="J86" s="26"/>
      <c r="K86" s="26"/>
      <c r="L86" s="31" t="s">
        <v>105</v>
      </c>
      <c r="M86" s="27">
        <v>30</v>
      </c>
      <c r="AK86" s="1"/>
    </row>
    <row r="87" spans="1:47" ht="13.5" hidden="1" customHeight="1" x14ac:dyDescent="0.15">
      <c r="B87" s="1" t="s">
        <v>255</v>
      </c>
      <c r="J87" s="30"/>
      <c r="K87" s="30"/>
      <c r="L87" s="31" t="s">
        <v>352</v>
      </c>
      <c r="M87" s="10">
        <v>10</v>
      </c>
      <c r="AK87" s="1"/>
    </row>
    <row r="88" spans="1:47" ht="13.5" hidden="1" customHeight="1" x14ac:dyDescent="0.15">
      <c r="B88" s="1" t="s">
        <v>256</v>
      </c>
      <c r="H88" s="34"/>
      <c r="I88" s="10"/>
      <c r="J88" s="10"/>
      <c r="K88" s="10"/>
      <c r="L88" s="31" t="s">
        <v>11</v>
      </c>
      <c r="M88" s="59">
        <v>0</v>
      </c>
      <c r="AK88" s="1"/>
    </row>
    <row r="89" spans="1:47" ht="13.5" hidden="1" customHeight="1" x14ac:dyDescent="0.15">
      <c r="B89" s="1" t="s">
        <v>257</v>
      </c>
      <c r="H89" s="34"/>
      <c r="I89" s="10"/>
      <c r="J89" s="10"/>
      <c r="K89" s="10"/>
      <c r="L89" s="31" t="s">
        <v>62</v>
      </c>
      <c r="M89" s="60">
        <v>0</v>
      </c>
    </row>
    <row r="90" spans="1:47" ht="13.5" hidden="1" customHeight="1" x14ac:dyDescent="0.15">
      <c r="J90" s="26"/>
      <c r="K90" s="26"/>
      <c r="L90" s="31"/>
      <c r="M90" s="28"/>
    </row>
    <row r="91" spans="1:47" ht="13.5" hidden="1" customHeight="1" x14ac:dyDescent="0.15">
      <c r="A91" s="1" t="s">
        <v>354</v>
      </c>
      <c r="J91" s="26"/>
      <c r="K91" s="26"/>
      <c r="L91" s="31"/>
      <c r="M91" s="28"/>
    </row>
    <row r="92" spans="1:47" ht="13.5" hidden="1" customHeight="1" x14ac:dyDescent="0.15">
      <c r="J92" s="26"/>
      <c r="K92" s="26"/>
      <c r="L92" s="31"/>
      <c r="M92" s="28"/>
      <c r="AK92" s="17"/>
    </row>
    <row r="93" spans="1:47" ht="13.5" hidden="1" customHeight="1" x14ac:dyDescent="0.15">
      <c r="B93" s="1" t="s">
        <v>70</v>
      </c>
      <c r="J93" s="26"/>
      <c r="K93" s="26"/>
      <c r="L93" s="31"/>
      <c r="M93" s="28"/>
    </row>
    <row r="94" spans="1:47" ht="13.5" hidden="1" customHeight="1" x14ac:dyDescent="0.15">
      <c r="C94" s="288">
        <v>1</v>
      </c>
      <c r="D94" s="288"/>
      <c r="E94" s="288" t="str">
        <f>IF(C94=1,G45,G46)</f>
        <v>MWSレポート</v>
      </c>
      <c r="J94" s="26"/>
      <c r="K94" s="26"/>
      <c r="L94" s="31"/>
      <c r="M94" s="28"/>
    </row>
    <row r="95" spans="1:47" ht="13.5" hidden="1" customHeight="1" x14ac:dyDescent="0.15">
      <c r="C95" s="289">
        <f>IF(C94=1,C94*160,C94*50)</f>
        <v>160</v>
      </c>
      <c r="D95" s="288"/>
      <c r="E95" s="288" t="str">
        <f>IF(C94=1,M45,M46)</f>
        <v>社内報原稿</v>
      </c>
      <c r="J95" s="26"/>
      <c r="K95" s="26"/>
      <c r="L95" s="31"/>
      <c r="M95" s="28"/>
      <c r="AK95" s="21"/>
    </row>
    <row r="96" spans="1:47" ht="13.5" hidden="1" customHeight="1" x14ac:dyDescent="0.15">
      <c r="B96" s="1" t="s">
        <v>71</v>
      </c>
      <c r="I96" s="1" t="s">
        <v>72</v>
      </c>
      <c r="J96" s="26"/>
      <c r="K96" s="26"/>
      <c r="L96" s="31"/>
      <c r="M96" s="28"/>
      <c r="R96" s="1" t="s">
        <v>73</v>
      </c>
      <c r="AK96" s="21"/>
    </row>
    <row r="97" spans="5:37" ht="13.5" hidden="1" customHeight="1" x14ac:dyDescent="0.15">
      <c r="E97" s="29" t="s">
        <v>167</v>
      </c>
      <c r="F97" s="127">
        <v>63</v>
      </c>
      <c r="J97" s="26"/>
      <c r="K97" s="26"/>
      <c r="L97" s="29" t="s">
        <v>181</v>
      </c>
      <c r="M97" s="127">
        <v>26</v>
      </c>
      <c r="P97" s="355">
        <v>4</v>
      </c>
      <c r="U97" s="31" t="s">
        <v>189</v>
      </c>
      <c r="V97" s="128">
        <v>624</v>
      </c>
      <c r="AK97" s="21"/>
    </row>
    <row r="98" spans="5:37" ht="13.5" hidden="1" customHeight="1" x14ac:dyDescent="0.15">
      <c r="E98" s="29" t="s">
        <v>168</v>
      </c>
      <c r="F98" s="127">
        <v>70</v>
      </c>
      <c r="J98" s="26"/>
      <c r="K98" s="26"/>
      <c r="L98" s="29" t="s">
        <v>182</v>
      </c>
      <c r="M98" s="127">
        <v>30</v>
      </c>
      <c r="P98" s="355"/>
      <c r="U98" s="31" t="s">
        <v>190</v>
      </c>
      <c r="V98" s="128">
        <v>627</v>
      </c>
      <c r="AK98" s="21"/>
    </row>
    <row r="99" spans="5:37" ht="13.5" hidden="1" customHeight="1" x14ac:dyDescent="0.15">
      <c r="E99" s="29" t="s">
        <v>169</v>
      </c>
      <c r="F99" s="127">
        <v>74</v>
      </c>
      <c r="J99" s="26"/>
      <c r="K99" s="26"/>
      <c r="L99" s="29" t="s">
        <v>183</v>
      </c>
      <c r="M99" s="127">
        <v>36</v>
      </c>
      <c r="P99" s="355"/>
      <c r="U99" s="31" t="s">
        <v>191</v>
      </c>
      <c r="V99" s="127">
        <v>683</v>
      </c>
    </row>
    <row r="100" spans="5:37" ht="13.5" hidden="1" customHeight="1" x14ac:dyDescent="0.15">
      <c r="E100" s="29" t="s">
        <v>170</v>
      </c>
      <c r="F100" s="127">
        <v>60</v>
      </c>
      <c r="J100" s="26"/>
      <c r="K100" s="26"/>
      <c r="L100" s="29" t="s">
        <v>184</v>
      </c>
      <c r="M100" s="127">
        <v>37</v>
      </c>
      <c r="P100" s="355"/>
      <c r="U100" s="31" t="s">
        <v>192</v>
      </c>
      <c r="V100" s="127">
        <v>707</v>
      </c>
    </row>
    <row r="101" spans="5:37" ht="13.5" hidden="1" customHeight="1" x14ac:dyDescent="0.15">
      <c r="E101" s="29" t="s">
        <v>171</v>
      </c>
      <c r="F101" s="127">
        <v>71</v>
      </c>
      <c r="J101" s="26"/>
      <c r="K101" s="26"/>
      <c r="L101" s="29" t="s">
        <v>185</v>
      </c>
      <c r="M101" s="127">
        <v>44</v>
      </c>
      <c r="P101" s="355"/>
      <c r="U101" s="31" t="s">
        <v>193</v>
      </c>
      <c r="V101" s="127">
        <v>785</v>
      </c>
    </row>
    <row r="102" spans="5:37" ht="13.5" hidden="1" customHeight="1" x14ac:dyDescent="0.15">
      <c r="E102" s="29" t="s">
        <v>172</v>
      </c>
      <c r="F102" s="127">
        <v>86</v>
      </c>
      <c r="J102" s="26"/>
      <c r="K102" s="26"/>
      <c r="L102" s="29" t="s">
        <v>186</v>
      </c>
      <c r="M102" s="127">
        <v>53</v>
      </c>
      <c r="P102" s="355"/>
      <c r="U102" s="31" t="s">
        <v>194</v>
      </c>
      <c r="V102" s="127">
        <v>892</v>
      </c>
    </row>
    <row r="103" spans="5:37" ht="13.5" hidden="1" customHeight="1" x14ac:dyDescent="0.15">
      <c r="E103" s="29" t="s">
        <v>173</v>
      </c>
      <c r="F103" s="127">
        <v>96</v>
      </c>
      <c r="J103" s="26"/>
      <c r="K103" s="26"/>
      <c r="L103" s="29" t="s">
        <v>187</v>
      </c>
      <c r="M103" s="127">
        <v>61</v>
      </c>
      <c r="P103" s="355">
        <v>5</v>
      </c>
      <c r="U103" s="29" t="s">
        <v>195</v>
      </c>
      <c r="V103" s="25">
        <v>221</v>
      </c>
    </row>
    <row r="104" spans="5:37" ht="13.5" hidden="1" customHeight="1" x14ac:dyDescent="0.15">
      <c r="E104" s="29" t="s">
        <v>174</v>
      </c>
      <c r="F104" s="127">
        <v>109</v>
      </c>
      <c r="J104" s="26"/>
      <c r="K104" s="26"/>
      <c r="L104" s="29" t="s">
        <v>188</v>
      </c>
      <c r="M104" s="127">
        <v>72</v>
      </c>
      <c r="P104" s="355"/>
      <c r="U104" s="29" t="s">
        <v>196</v>
      </c>
      <c r="V104" s="25">
        <v>390</v>
      </c>
    </row>
    <row r="105" spans="5:37" ht="13.5" hidden="1" customHeight="1" x14ac:dyDescent="0.15">
      <c r="E105" s="29" t="s">
        <v>266</v>
      </c>
      <c r="F105" s="127">
        <v>332</v>
      </c>
      <c r="K105" s="26"/>
      <c r="L105" s="29" t="s">
        <v>212</v>
      </c>
      <c r="M105" s="25">
        <v>333</v>
      </c>
      <c r="P105" s="355"/>
      <c r="U105" s="29" t="s">
        <v>197</v>
      </c>
      <c r="V105" s="25">
        <v>365</v>
      </c>
    </row>
    <row r="106" spans="5:37" ht="13.5" hidden="1" customHeight="1" x14ac:dyDescent="0.15">
      <c r="E106" s="29" t="s">
        <v>267</v>
      </c>
      <c r="F106" s="127">
        <v>276</v>
      </c>
      <c r="K106" s="26"/>
      <c r="L106" s="29" t="s">
        <v>213</v>
      </c>
      <c r="M106" s="25">
        <v>373</v>
      </c>
      <c r="P106" s="355"/>
      <c r="U106" s="29" t="s">
        <v>198</v>
      </c>
      <c r="V106" s="25">
        <v>567</v>
      </c>
      <c r="AD106" s="158"/>
      <c r="AE106" s="158"/>
      <c r="AF106" s="158"/>
    </row>
    <row r="107" spans="5:37" ht="13.5" hidden="1" customHeight="1" x14ac:dyDescent="0.15">
      <c r="E107" s="29" t="s">
        <v>268</v>
      </c>
      <c r="F107" s="127">
        <v>387</v>
      </c>
      <c r="L107" s="29" t="s">
        <v>214</v>
      </c>
      <c r="M107" s="25">
        <v>507</v>
      </c>
      <c r="P107" s="355"/>
      <c r="U107" s="29" t="s">
        <v>199</v>
      </c>
      <c r="V107" s="25">
        <v>1075</v>
      </c>
    </row>
    <row r="108" spans="5:37" ht="13.5" hidden="1" customHeight="1" x14ac:dyDescent="0.15">
      <c r="E108" s="29" t="s">
        <v>269</v>
      </c>
      <c r="F108" s="127">
        <v>631</v>
      </c>
      <c r="L108" s="29" t="s">
        <v>215</v>
      </c>
      <c r="M108" s="25">
        <v>617</v>
      </c>
      <c r="U108" s="41" t="s">
        <v>62</v>
      </c>
      <c r="V108" s="43">
        <v>0</v>
      </c>
    </row>
    <row r="109" spans="5:37" ht="13.5" hidden="1" customHeight="1" x14ac:dyDescent="0.15">
      <c r="E109" s="29" t="s">
        <v>270</v>
      </c>
      <c r="F109" s="127">
        <v>695</v>
      </c>
      <c r="L109" s="29" t="s">
        <v>216</v>
      </c>
      <c r="M109" s="25">
        <v>646</v>
      </c>
    </row>
    <row r="110" spans="5:37" ht="13.5" hidden="1" customHeight="1" x14ac:dyDescent="0.15">
      <c r="E110" s="31" t="s">
        <v>175</v>
      </c>
      <c r="F110" s="128">
        <v>190</v>
      </c>
      <c r="L110" s="31" t="s">
        <v>62</v>
      </c>
      <c r="M110" s="42">
        <v>0</v>
      </c>
    </row>
    <row r="111" spans="5:37" ht="13.5" hidden="1" customHeight="1" x14ac:dyDescent="0.15">
      <c r="E111" s="31" t="s">
        <v>176</v>
      </c>
      <c r="F111" s="128">
        <v>277</v>
      </c>
      <c r="W111" s="31" t="s">
        <v>372</v>
      </c>
    </row>
    <row r="112" spans="5:37" ht="13.5" hidden="1" customHeight="1" x14ac:dyDescent="0.15">
      <c r="E112" s="31" t="s">
        <v>177</v>
      </c>
      <c r="F112" s="128">
        <v>397</v>
      </c>
      <c r="J112" s="6"/>
      <c r="W112" s="31" t="s">
        <v>370</v>
      </c>
      <c r="X112" s="1" t="b">
        <f>IF(OR(F56=U97,F56=U98,F56=U99,F56=U100,F56=U101,F56=U102),4,IF(OR(F56=U103,F56=U104,F56=U105,F56=U106,F56=U107),5))</f>
        <v>0</v>
      </c>
    </row>
    <row r="113" spans="1:26" ht="13.5" hidden="1" customHeight="1" x14ac:dyDescent="0.15">
      <c r="E113" s="31" t="s">
        <v>178</v>
      </c>
      <c r="F113" s="128">
        <v>573</v>
      </c>
      <c r="J113" s="6"/>
      <c r="W113" s="31" t="s">
        <v>371</v>
      </c>
      <c r="X113" s="1" t="b">
        <f>IF(OR(F57=U98,F57=U99,F57=U100,F57=U101,F57=U102,F57=U103),4,IF(OR(F57=U104,F57=U105,F57=U106,F57=U107,F57=U108),5))</f>
        <v>0</v>
      </c>
    </row>
    <row r="114" spans="1:26" ht="13.5" hidden="1" customHeight="1" x14ac:dyDescent="0.15">
      <c r="E114" s="31" t="s">
        <v>179</v>
      </c>
      <c r="F114" s="128">
        <v>741</v>
      </c>
      <c r="J114" s="6"/>
      <c r="W114" s="31" t="s">
        <v>368</v>
      </c>
      <c r="X114" s="215" t="str">
        <f>IF(OR(F60=E117,F60=E118,F60=E119,F60=E120,F60=E121),1,IF(OR(F60=E122,F60=E123,F60=E124,F60=E125,F60=E126,F60=E127),2,IF(F60=E128,3,"")))</f>
        <v/>
      </c>
    </row>
    <row r="115" spans="1:26" ht="13.5" hidden="1" customHeight="1" x14ac:dyDescent="0.15">
      <c r="E115" s="31" t="s">
        <v>180</v>
      </c>
      <c r="F115" s="128">
        <v>1021</v>
      </c>
      <c r="J115" s="6"/>
      <c r="U115" s="69"/>
      <c r="V115" s="69"/>
      <c r="W115" s="31" t="s">
        <v>369</v>
      </c>
      <c r="X115" s="215" t="str">
        <f>IF(OR(F61=E117,F61=E118,F61=E119,F61=E120,F61=E121),1,IF(OR(F61=E122,F61=E123,F61=E124,F61=E125,F61=E126,F61=E127),2,IF(F61=E128,3,"")))</f>
        <v/>
      </c>
    </row>
    <row r="116" spans="1:26" ht="13.5" hidden="1" customHeight="1" x14ac:dyDescent="0.15">
      <c r="B116" s="1" t="s">
        <v>74</v>
      </c>
      <c r="H116" s="1" t="s">
        <v>75</v>
      </c>
      <c r="J116" s="6"/>
      <c r="K116" s="1" t="s">
        <v>76</v>
      </c>
      <c r="U116" s="103"/>
      <c r="V116" s="103"/>
    </row>
    <row r="117" spans="1:26" ht="13.5" hidden="1" customHeight="1" x14ac:dyDescent="0.15">
      <c r="A117" s="462">
        <v>1</v>
      </c>
      <c r="E117" s="29" t="s">
        <v>201</v>
      </c>
      <c r="F117" s="25">
        <v>950</v>
      </c>
      <c r="H117" s="132">
        <v>0.5</v>
      </c>
      <c r="J117" s="6"/>
      <c r="K117" s="1" t="s">
        <v>50</v>
      </c>
      <c r="L117" s="19"/>
      <c r="M117" s="19"/>
      <c r="N117" s="19"/>
      <c r="O117" s="19"/>
      <c r="Q117" s="38"/>
      <c r="T117" s="19"/>
      <c r="U117" s="101">
        <f>$W$48*60</f>
        <v>28800.000000000015</v>
      </c>
      <c r="V117" s="101"/>
      <c r="X117" s="99"/>
    </row>
    <row r="118" spans="1:26" ht="13.5" hidden="1" customHeight="1" x14ac:dyDescent="0.15">
      <c r="A118" s="462"/>
      <c r="C118" s="6"/>
      <c r="D118" s="6"/>
      <c r="E118" s="29" t="s">
        <v>202</v>
      </c>
      <c r="F118" s="25">
        <v>1295</v>
      </c>
      <c r="H118" s="132">
        <v>0.75</v>
      </c>
      <c r="J118" s="6"/>
      <c r="K118" s="1" t="s">
        <v>144</v>
      </c>
      <c r="L118" s="19"/>
      <c r="M118" s="19"/>
      <c r="N118" s="19"/>
      <c r="O118" s="19"/>
      <c r="Q118" s="19"/>
      <c r="T118" s="19"/>
      <c r="U118" s="104">
        <f>U117*0.2</f>
        <v>5760.0000000000036</v>
      </c>
      <c r="V118" s="100"/>
    </row>
    <row r="119" spans="1:26" ht="13.5" hidden="1" customHeight="1" x14ac:dyDescent="0.15">
      <c r="A119" s="462"/>
      <c r="C119" s="6"/>
      <c r="D119" s="6"/>
      <c r="E119" s="29" t="s">
        <v>203</v>
      </c>
      <c r="F119" s="25">
        <v>1357</v>
      </c>
      <c r="H119" s="132">
        <v>1</v>
      </c>
      <c r="J119" s="6"/>
      <c r="K119" s="1" t="s">
        <v>49</v>
      </c>
      <c r="U119" s="213" t="e">
        <f>U118/O149/S149/5</f>
        <v>#VALUE!</v>
      </c>
      <c r="V119" s="102" t="s">
        <v>258</v>
      </c>
    </row>
    <row r="120" spans="1:26" ht="13.5" hidden="1" customHeight="1" x14ac:dyDescent="0.15">
      <c r="A120" s="462"/>
      <c r="C120" s="6"/>
      <c r="D120" s="6"/>
      <c r="E120" s="29" t="s">
        <v>204</v>
      </c>
      <c r="F120" s="25">
        <v>1905</v>
      </c>
      <c r="H120" s="132">
        <v>1.25</v>
      </c>
      <c r="J120" s="6"/>
      <c r="K120" s="1" t="s">
        <v>145</v>
      </c>
      <c r="U120" s="104">
        <f>U117*0.2</f>
        <v>5760.0000000000036</v>
      </c>
      <c r="V120" s="100"/>
    </row>
    <row r="121" spans="1:26" ht="13.5" hidden="1" customHeight="1" x14ac:dyDescent="0.15">
      <c r="A121" s="462"/>
      <c r="C121" s="6"/>
      <c r="D121" s="6"/>
      <c r="E121" s="29" t="s">
        <v>205</v>
      </c>
      <c r="F121" s="25">
        <v>2260</v>
      </c>
      <c r="H121" s="132">
        <v>1.5</v>
      </c>
      <c r="J121" s="6"/>
      <c r="K121" s="1" t="s">
        <v>51</v>
      </c>
      <c r="U121" s="102" t="e">
        <f>U120/O150/S150</f>
        <v>#VALUE!</v>
      </c>
      <c r="V121" s="103"/>
      <c r="X121" s="214" t="e">
        <f>IF(V151=0,U121*1,U121*0.5)</f>
        <v>#VALUE!</v>
      </c>
      <c r="Y121" s="1" t="s">
        <v>259</v>
      </c>
    </row>
    <row r="122" spans="1:26" ht="13.5" hidden="1" customHeight="1" x14ac:dyDescent="0.15">
      <c r="A122" s="462">
        <v>2</v>
      </c>
      <c r="C122" s="6"/>
      <c r="D122" s="6"/>
      <c r="E122" s="29" t="s">
        <v>221</v>
      </c>
      <c r="F122" s="127">
        <v>155</v>
      </c>
      <c r="H122" s="133">
        <v>1.75</v>
      </c>
      <c r="J122" s="6"/>
      <c r="K122" s="1" t="s">
        <v>150</v>
      </c>
      <c r="U122" s="104">
        <f>U117*0.2/2</f>
        <v>2880.0000000000018</v>
      </c>
      <c r="V122" s="100"/>
    </row>
    <row r="123" spans="1:26" ht="13.5" hidden="1" customHeight="1" x14ac:dyDescent="0.15">
      <c r="A123" s="462"/>
      <c r="C123" s="6"/>
      <c r="D123" s="6"/>
      <c r="E123" s="29" t="s">
        <v>265</v>
      </c>
      <c r="F123" s="127">
        <v>171</v>
      </c>
      <c r="H123" s="132">
        <v>2</v>
      </c>
      <c r="K123" s="1" t="s">
        <v>77</v>
      </c>
      <c r="U123" s="213" t="e">
        <f>U122/O151/S151</f>
        <v>#VALUE!</v>
      </c>
      <c r="V123" s="102" t="s">
        <v>260</v>
      </c>
    </row>
    <row r="124" spans="1:26" ht="13.5" hidden="1" customHeight="1" x14ac:dyDescent="0.15">
      <c r="A124" s="462"/>
      <c r="C124" s="6"/>
      <c r="D124" s="6"/>
      <c r="E124" s="29" t="s">
        <v>222</v>
      </c>
      <c r="F124" s="127">
        <v>232</v>
      </c>
      <c r="K124" s="1" t="s">
        <v>146</v>
      </c>
      <c r="U124" s="102">
        <f>U117*0.35</f>
        <v>10080.000000000004</v>
      </c>
      <c r="V124" s="103"/>
    </row>
    <row r="125" spans="1:26" ht="13.5" hidden="1" customHeight="1" x14ac:dyDescent="0.15">
      <c r="A125" s="462"/>
      <c r="C125" s="6"/>
      <c r="D125" s="6"/>
      <c r="E125" s="29" t="s">
        <v>223</v>
      </c>
      <c r="F125" s="127">
        <v>244</v>
      </c>
      <c r="K125" s="1" t="s">
        <v>52</v>
      </c>
      <c r="U125" s="102" t="e">
        <f>U124/O152/S152</f>
        <v>#VALUE!</v>
      </c>
      <c r="V125" s="103"/>
      <c r="X125" s="214" t="e">
        <f>IF(V153=0,U125*1,U125*0.5)</f>
        <v>#VALUE!</v>
      </c>
      <c r="Y125" s="1" t="s">
        <v>261</v>
      </c>
    </row>
    <row r="126" spans="1:26" ht="13.5" hidden="1" customHeight="1" x14ac:dyDescent="0.15">
      <c r="A126" s="462"/>
      <c r="C126" s="6"/>
      <c r="D126" s="6"/>
      <c r="E126" s="29" t="s">
        <v>224</v>
      </c>
      <c r="F126" s="127">
        <v>296</v>
      </c>
      <c r="K126" s="1" t="s">
        <v>147</v>
      </c>
      <c r="U126" s="102">
        <f>U117*0.35/2</f>
        <v>5040.0000000000018</v>
      </c>
      <c r="V126" s="103"/>
    </row>
    <row r="127" spans="1:26" ht="13.5" hidden="1" customHeight="1" x14ac:dyDescent="0.15">
      <c r="A127" s="462"/>
      <c r="C127" s="6"/>
      <c r="D127" s="6"/>
      <c r="E127" s="29" t="s">
        <v>225</v>
      </c>
      <c r="F127" s="127">
        <v>580</v>
      </c>
      <c r="K127" s="1" t="s">
        <v>78</v>
      </c>
      <c r="U127" s="213" t="e">
        <f>U126/O153/S153/2</f>
        <v>#VALUE!</v>
      </c>
      <c r="V127" s="103" t="s">
        <v>262</v>
      </c>
      <c r="Z127" s="30"/>
    </row>
    <row r="128" spans="1:26" ht="13.5" hidden="1" customHeight="1" x14ac:dyDescent="0.15">
      <c r="A128" s="20">
        <v>3</v>
      </c>
      <c r="C128" s="6"/>
      <c r="D128" s="6"/>
      <c r="E128" s="29" t="s">
        <v>226</v>
      </c>
      <c r="F128" s="127">
        <v>946</v>
      </c>
      <c r="K128" s="1" t="s">
        <v>148</v>
      </c>
      <c r="U128" s="102">
        <f>U117*0.25</f>
        <v>7200.0000000000036</v>
      </c>
      <c r="V128" s="103"/>
      <c r="Z128" s="33"/>
    </row>
    <row r="129" spans="1:37" ht="13.5" hidden="1" customHeight="1" x14ac:dyDescent="0.15">
      <c r="A129" s="50"/>
      <c r="B129" s="50"/>
      <c r="E129" s="31" t="s">
        <v>200</v>
      </c>
      <c r="F129" s="1">
        <v>0</v>
      </c>
      <c r="K129" s="1" t="s">
        <v>53</v>
      </c>
      <c r="U129" s="102" t="e">
        <f>U128/O154/S154</f>
        <v>#VALUE!</v>
      </c>
      <c r="V129" s="103"/>
      <c r="X129" s="214" t="e">
        <f>IF(V155=0,U129*1,U129*0.5)</f>
        <v>#VALUE!</v>
      </c>
      <c r="Y129" s="1" t="s">
        <v>263</v>
      </c>
    </row>
    <row r="130" spans="1:37" ht="13.5" hidden="1" customHeight="1" x14ac:dyDescent="0.15">
      <c r="A130" s="50"/>
      <c r="B130" s="50"/>
      <c r="K130" s="1" t="s">
        <v>149</v>
      </c>
      <c r="U130" s="102">
        <f>U117*0.25/2</f>
        <v>3600.0000000000018</v>
      </c>
      <c r="V130" s="103"/>
    </row>
    <row r="131" spans="1:37" ht="13.5" hidden="1" customHeight="1" x14ac:dyDescent="0.15">
      <c r="A131" s="50"/>
      <c r="G131" s="30"/>
      <c r="K131" s="1" t="s">
        <v>79</v>
      </c>
      <c r="U131" s="213" t="e">
        <f>U130/O155/S155</f>
        <v>#VALUE!</v>
      </c>
      <c r="V131" s="102" t="s">
        <v>264</v>
      </c>
    </row>
    <row r="132" spans="1:37" ht="13.5" hidden="1" customHeight="1" x14ac:dyDescent="0.15">
      <c r="A132" s="50"/>
      <c r="G132" s="30"/>
    </row>
    <row r="133" spans="1:37" ht="13.5" hidden="1" customHeight="1" x14ac:dyDescent="0.15">
      <c r="A133" s="50"/>
    </row>
    <row r="134" spans="1:37" ht="13.5" hidden="1" customHeight="1" x14ac:dyDescent="0.15">
      <c r="B134" s="6" t="s">
        <v>21</v>
      </c>
      <c r="C134" s="6"/>
      <c r="P134" s="1" t="s">
        <v>108</v>
      </c>
      <c r="U134" s="1" t="s">
        <v>361</v>
      </c>
    </row>
    <row r="135" spans="1:37" ht="13.5" hidden="1" customHeight="1" x14ac:dyDescent="0.15">
      <c r="B135" s="30" t="s">
        <v>58</v>
      </c>
      <c r="C135" s="30"/>
      <c r="D135" s="30"/>
      <c r="E135" s="30" t="s">
        <v>61</v>
      </c>
      <c r="P135" s="1" t="s">
        <v>122</v>
      </c>
      <c r="U135" s="30" t="s">
        <v>362</v>
      </c>
      <c r="V135" s="30"/>
      <c r="W135" s="30"/>
      <c r="X135" s="30" t="str">
        <f>LEFT(F53,2)</f>
        <v/>
      </c>
      <c r="Y135" s="30"/>
    </row>
    <row r="136" spans="1:37" ht="13.5" hidden="1" customHeight="1" x14ac:dyDescent="0.15">
      <c r="B136" s="30" t="s">
        <v>59</v>
      </c>
      <c r="C136" s="30"/>
      <c r="D136" s="30"/>
      <c r="E136" s="33" t="s">
        <v>60</v>
      </c>
      <c r="P136" s="1" t="s">
        <v>109</v>
      </c>
      <c r="Q136" s="207">
        <f>$L$7</f>
        <v>0.5</v>
      </c>
      <c r="R136" s="1" t="s">
        <v>2</v>
      </c>
      <c r="U136" s="1" t="s">
        <v>363</v>
      </c>
      <c r="X136" s="1" t="str">
        <f>LEFT(F54,2)</f>
        <v/>
      </c>
      <c r="AK136" s="21"/>
    </row>
    <row r="137" spans="1:37" ht="13.5" hidden="1" customHeight="1" x14ac:dyDescent="0.15">
      <c r="P137" s="1" t="s">
        <v>110</v>
      </c>
      <c r="Q137" s="207">
        <f>$S$7</f>
        <v>0.625</v>
      </c>
      <c r="R137" s="1" t="s">
        <v>107</v>
      </c>
      <c r="U137" s="1" t="s">
        <v>364</v>
      </c>
      <c r="X137" s="1" t="str">
        <f>LEFT(F56,2)</f>
        <v/>
      </c>
    </row>
    <row r="138" spans="1:37" ht="13.5" hidden="1" customHeight="1" x14ac:dyDescent="0.15">
      <c r="B138" s="1" t="s">
        <v>160</v>
      </c>
      <c r="U138" s="1" t="s">
        <v>365</v>
      </c>
      <c r="X138" s="1" t="str">
        <f>LEFT(F57,2)</f>
        <v/>
      </c>
      <c r="AK138" s="21"/>
    </row>
    <row r="139" spans="1:37" ht="13.5" hidden="1" customHeight="1" x14ac:dyDescent="0.15">
      <c r="E139" s="31" t="s">
        <v>278</v>
      </c>
      <c r="F139" s="1" t="s">
        <v>142</v>
      </c>
      <c r="G139" s="1" t="s">
        <v>135</v>
      </c>
      <c r="U139" s="1" t="s">
        <v>366</v>
      </c>
      <c r="X139" s="1" t="str">
        <f>LEFT(F60,3)</f>
        <v/>
      </c>
      <c r="AK139" s="21"/>
    </row>
    <row r="140" spans="1:37" ht="13.5" hidden="1" customHeight="1" x14ac:dyDescent="0.15">
      <c r="E140" s="31" t="s">
        <v>279</v>
      </c>
      <c r="F140" s="1" t="s">
        <v>143</v>
      </c>
      <c r="G140" s="1" t="s">
        <v>242</v>
      </c>
      <c r="U140" s="1" t="s">
        <v>367</v>
      </c>
      <c r="X140" s="1" t="str">
        <f>LEFT(F61,3)</f>
        <v/>
      </c>
      <c r="AK140" s="21"/>
    </row>
    <row r="141" spans="1:37" ht="13.5" hidden="1" customHeight="1" x14ac:dyDescent="0.15">
      <c r="Y141" s="30"/>
    </row>
    <row r="142" spans="1:37" ht="13.5" hidden="1" customHeight="1" x14ac:dyDescent="0.15">
      <c r="Y142" s="30"/>
      <c r="AK142" s="21"/>
    </row>
    <row r="143" spans="1:37" ht="13.5" hidden="1" customHeight="1" x14ac:dyDescent="0.15">
      <c r="C143" s="6"/>
      <c r="D143" s="6"/>
      <c r="E143" s="6"/>
      <c r="AK143" s="21"/>
    </row>
    <row r="144" spans="1:37" ht="13.5" hidden="1" customHeight="1" x14ac:dyDescent="0.15">
      <c r="C144" s="6"/>
      <c r="D144" s="6"/>
      <c r="E144" s="6"/>
      <c r="AA144" s="11"/>
      <c r="AK144" s="21"/>
    </row>
    <row r="145" spans="2:36" ht="13.5" hidden="1" customHeight="1" x14ac:dyDescent="0.15">
      <c r="C145" s="6"/>
      <c r="D145" s="6"/>
      <c r="E145" s="6"/>
      <c r="I145" s="20"/>
      <c r="AB145" s="11"/>
      <c r="AC145" s="11"/>
      <c r="AD145" s="11"/>
      <c r="AE145" s="11"/>
      <c r="AF145" s="11"/>
      <c r="AG145" s="11"/>
      <c r="AH145" s="11"/>
      <c r="AI145" s="11"/>
      <c r="AJ145" s="11"/>
    </row>
    <row r="146" spans="2:36" ht="13.5" hidden="1" customHeight="1" x14ac:dyDescent="0.15">
      <c r="C146" s="6"/>
      <c r="D146" s="6"/>
      <c r="E146" s="6"/>
    </row>
    <row r="147" spans="2:36" ht="13.5" hidden="1" customHeight="1" x14ac:dyDescent="0.15">
      <c r="B147" s="1" t="s">
        <v>161</v>
      </c>
    </row>
    <row r="148" spans="2:36" ht="13.5" hidden="1" customHeight="1" x14ac:dyDescent="0.15">
      <c r="N148" s="377" t="s">
        <v>54</v>
      </c>
      <c r="O148" s="377"/>
      <c r="P148" s="377"/>
      <c r="Q148" s="377"/>
      <c r="R148" s="32"/>
      <c r="S148" s="378" t="s">
        <v>46</v>
      </c>
      <c r="T148" s="378"/>
      <c r="V148" s="377" t="s">
        <v>48</v>
      </c>
      <c r="W148" s="377"/>
      <c r="X148" s="377"/>
    </row>
    <row r="149" spans="2:36" ht="13.5" hidden="1" customHeight="1" x14ac:dyDescent="0.15">
      <c r="B149" s="30"/>
      <c r="D149" s="33"/>
      <c r="E149" s="274"/>
      <c r="F149" s="356" t="s">
        <v>22</v>
      </c>
      <c r="G149" s="357"/>
      <c r="H149" s="91" t="s">
        <v>81</v>
      </c>
      <c r="I149" s="379">
        <f>$F$51</f>
        <v>0</v>
      </c>
      <c r="J149" s="379"/>
      <c r="K149" s="379"/>
      <c r="L149" s="379"/>
      <c r="M149" s="379"/>
      <c r="N149" s="92" t="s">
        <v>63</v>
      </c>
      <c r="O149" s="384" t="str">
        <f>IFERROR(VLOOKUP(I149,タスクA作業標準時間,2,FALSE),"")</f>
        <v/>
      </c>
      <c r="P149" s="384"/>
      <c r="Q149" s="384"/>
      <c r="R149" s="93" t="s">
        <v>45</v>
      </c>
      <c r="S149" s="363">
        <f>L51</f>
        <v>0</v>
      </c>
      <c r="T149" s="363"/>
      <c r="U149" s="67" t="s">
        <v>47</v>
      </c>
      <c r="V149" s="369" t="str">
        <f t="shared" ref="V149:V155" si="75">IFERROR((O149*S149)/86400,"")</f>
        <v/>
      </c>
      <c r="W149" s="369"/>
      <c r="X149" s="370"/>
    </row>
    <row r="150" spans="2:36" ht="13.5" hidden="1" customHeight="1" x14ac:dyDescent="0.15">
      <c r="B150" s="30"/>
      <c r="D150" s="33"/>
      <c r="E150" s="275"/>
      <c r="F150" s="297" t="s">
        <v>23</v>
      </c>
      <c r="G150" s="358"/>
      <c r="H150" s="85" t="s">
        <v>81</v>
      </c>
      <c r="I150" s="382">
        <f>$F$53</f>
        <v>0</v>
      </c>
      <c r="J150" s="382"/>
      <c r="K150" s="382"/>
      <c r="L150" s="382"/>
      <c r="M150" s="382"/>
      <c r="N150" s="65" t="s">
        <v>63</v>
      </c>
      <c r="O150" s="385" t="str">
        <f>IFERROR(VLOOKUP(I150,タスクB作業標準時間,2,FALSE),"")</f>
        <v/>
      </c>
      <c r="P150" s="385"/>
      <c r="Q150" s="385"/>
      <c r="R150" s="82" t="s">
        <v>45</v>
      </c>
      <c r="S150" s="364">
        <f>L53</f>
        <v>0</v>
      </c>
      <c r="T150" s="364"/>
      <c r="U150" s="70" t="s">
        <v>47</v>
      </c>
      <c r="V150" s="371" t="str">
        <f t="shared" si="75"/>
        <v/>
      </c>
      <c r="W150" s="371"/>
      <c r="X150" s="372"/>
    </row>
    <row r="151" spans="2:36" ht="13.5" hidden="1" customHeight="1" x14ac:dyDescent="0.15">
      <c r="B151" s="30"/>
      <c r="D151" s="33"/>
      <c r="E151" s="275"/>
      <c r="F151" s="359"/>
      <c r="G151" s="360"/>
      <c r="H151" s="86" t="s">
        <v>101</v>
      </c>
      <c r="I151" s="383">
        <f>$F$54</f>
        <v>0</v>
      </c>
      <c r="J151" s="383"/>
      <c r="K151" s="383"/>
      <c r="L151" s="383"/>
      <c r="M151" s="383"/>
      <c r="N151" s="66" t="s">
        <v>63</v>
      </c>
      <c r="O151" s="368" t="str">
        <f>IFERROR(VLOOKUP(I151,タスクB作業標準時間,2,FALSE),"")</f>
        <v/>
      </c>
      <c r="P151" s="368"/>
      <c r="Q151" s="368"/>
      <c r="R151" s="83" t="s">
        <v>45</v>
      </c>
      <c r="S151" s="365">
        <f>L54</f>
        <v>0</v>
      </c>
      <c r="T151" s="365"/>
      <c r="U151" s="84" t="s">
        <v>47</v>
      </c>
      <c r="V151" s="361" t="str">
        <f t="shared" si="75"/>
        <v/>
      </c>
      <c r="W151" s="361"/>
      <c r="X151" s="362"/>
    </row>
    <row r="152" spans="2:36" ht="13.5" hidden="1" customHeight="1" x14ac:dyDescent="0.15">
      <c r="B152" s="30"/>
      <c r="D152" s="33"/>
      <c r="E152" s="275"/>
      <c r="F152" s="297" t="s">
        <v>24</v>
      </c>
      <c r="G152" s="358"/>
      <c r="H152" s="89" t="s">
        <v>81</v>
      </c>
      <c r="I152" s="380">
        <f>$F$56</f>
        <v>0</v>
      </c>
      <c r="J152" s="380"/>
      <c r="K152" s="380"/>
      <c r="L152" s="380"/>
      <c r="M152" s="380"/>
      <c r="N152" s="74" t="s">
        <v>63</v>
      </c>
      <c r="O152" s="386" t="str">
        <f>IFERROR(VLOOKUP(I152,タスクD作業標準時間,2,FALSE),"")</f>
        <v/>
      </c>
      <c r="P152" s="386"/>
      <c r="Q152" s="386"/>
      <c r="R152" s="90" t="s">
        <v>45</v>
      </c>
      <c r="S152" s="366">
        <f>L56</f>
        <v>0</v>
      </c>
      <c r="T152" s="366"/>
      <c r="U152" s="72" t="s">
        <v>47</v>
      </c>
      <c r="V152" s="373" t="str">
        <f t="shared" si="75"/>
        <v/>
      </c>
      <c r="W152" s="373"/>
      <c r="X152" s="374"/>
    </row>
    <row r="153" spans="2:36" ht="13.5" hidden="1" customHeight="1" x14ac:dyDescent="0.15">
      <c r="B153" s="30"/>
      <c r="D153" s="33"/>
      <c r="E153" s="275"/>
      <c r="F153" s="359"/>
      <c r="G153" s="360"/>
      <c r="H153" s="87" t="s">
        <v>101</v>
      </c>
      <c r="I153" s="381">
        <f>$F$57</f>
        <v>0</v>
      </c>
      <c r="J153" s="381"/>
      <c r="K153" s="381"/>
      <c r="L153" s="381"/>
      <c r="M153" s="381"/>
      <c r="N153" s="75" t="s">
        <v>63</v>
      </c>
      <c r="O153" s="387" t="str">
        <f>IFERROR(VLOOKUP(I153,タスクD作業標準時間,2,FALSE),"")</f>
        <v/>
      </c>
      <c r="P153" s="387"/>
      <c r="Q153" s="387"/>
      <c r="R153" s="88" t="s">
        <v>45</v>
      </c>
      <c r="S153" s="367">
        <f>L57</f>
        <v>0</v>
      </c>
      <c r="T153" s="367"/>
      <c r="U153" s="71" t="s">
        <v>47</v>
      </c>
      <c r="V153" s="375" t="str">
        <f t="shared" si="75"/>
        <v/>
      </c>
      <c r="W153" s="375"/>
      <c r="X153" s="376"/>
    </row>
    <row r="154" spans="2:36" ht="13.5" hidden="1" customHeight="1" x14ac:dyDescent="0.15">
      <c r="D154" s="33"/>
      <c r="E154" s="275"/>
      <c r="F154" s="297" t="s">
        <v>25</v>
      </c>
      <c r="G154" s="358"/>
      <c r="H154" s="85" t="s">
        <v>81</v>
      </c>
      <c r="I154" s="382">
        <f>$F$60</f>
        <v>0</v>
      </c>
      <c r="J154" s="382"/>
      <c r="K154" s="382"/>
      <c r="L154" s="382"/>
      <c r="M154" s="382"/>
      <c r="N154" s="65" t="s">
        <v>63</v>
      </c>
      <c r="O154" s="385" t="str">
        <f>IFERROR(VLOOKUP(I154,タスクG作業標準時間,2,FALSE),"")</f>
        <v/>
      </c>
      <c r="P154" s="385"/>
      <c r="Q154" s="385"/>
      <c r="R154" s="82" t="s">
        <v>45</v>
      </c>
      <c r="S154" s="364">
        <f>L60</f>
        <v>0</v>
      </c>
      <c r="T154" s="364"/>
      <c r="U154" s="70" t="s">
        <v>47</v>
      </c>
      <c r="V154" s="371" t="str">
        <f t="shared" si="75"/>
        <v/>
      </c>
      <c r="W154" s="371"/>
      <c r="X154" s="372"/>
    </row>
    <row r="155" spans="2:36" ht="13.5" hidden="1" customHeight="1" x14ac:dyDescent="0.15">
      <c r="D155" s="33"/>
      <c r="E155" s="275"/>
      <c r="F155" s="359"/>
      <c r="G155" s="360"/>
      <c r="H155" s="86" t="s">
        <v>101</v>
      </c>
      <c r="I155" s="383">
        <f>$F$61</f>
        <v>0</v>
      </c>
      <c r="J155" s="383"/>
      <c r="K155" s="383"/>
      <c r="L155" s="383"/>
      <c r="M155" s="383"/>
      <c r="N155" s="66" t="s">
        <v>63</v>
      </c>
      <c r="O155" s="368" t="str">
        <f>IFERROR(VLOOKUP(I155,タスクG作業標準時間,2,FALSE),"")</f>
        <v/>
      </c>
      <c r="P155" s="368"/>
      <c r="Q155" s="368"/>
      <c r="R155" s="83" t="s">
        <v>45</v>
      </c>
      <c r="S155" s="365">
        <f>L61</f>
        <v>0</v>
      </c>
      <c r="T155" s="365"/>
      <c r="U155" s="84" t="s">
        <v>47</v>
      </c>
      <c r="V155" s="361" t="str">
        <f t="shared" si="75"/>
        <v/>
      </c>
      <c r="W155" s="361"/>
      <c r="X155" s="362"/>
    </row>
    <row r="156" spans="2:36" ht="13.5" customHeight="1" x14ac:dyDescent="0.15">
      <c r="P156" s="6"/>
      <c r="Q156" s="6"/>
      <c r="R156" s="6"/>
    </row>
    <row r="159" spans="2:36" ht="13.5" customHeight="1" x14ac:dyDescent="0.15">
      <c r="C159" s="188"/>
      <c r="D159" s="188"/>
      <c r="E159" s="188"/>
      <c r="F159" s="188"/>
      <c r="G159" s="188"/>
      <c r="H159" s="188"/>
    </row>
    <row r="160" spans="2:36" ht="13.5" customHeight="1" x14ac:dyDescent="0.15">
      <c r="C160" s="29"/>
      <c r="D160" s="176"/>
      <c r="E160" s="29"/>
      <c r="F160" s="176"/>
      <c r="G160" s="187"/>
      <c r="H160" s="188"/>
      <c r="L160" s="30"/>
      <c r="M160" s="30"/>
    </row>
    <row r="161" spans="2:37" ht="13.5" customHeight="1" x14ac:dyDescent="0.15">
      <c r="C161" s="29"/>
      <c r="D161" s="176"/>
      <c r="E161" s="29"/>
      <c r="F161" s="176"/>
      <c r="G161" s="187"/>
      <c r="H161" s="188"/>
      <c r="K161" s="10"/>
      <c r="L161" s="30"/>
      <c r="M161" s="30"/>
      <c r="N161" s="10"/>
    </row>
    <row r="162" spans="2:37" ht="13.5" customHeight="1" x14ac:dyDescent="0.15">
      <c r="B162" s="6"/>
      <c r="C162" s="29"/>
      <c r="D162" s="176"/>
      <c r="E162" s="29"/>
      <c r="F162" s="176"/>
      <c r="G162" s="187"/>
      <c r="H162" s="188"/>
      <c r="K162" s="10"/>
      <c r="L162" s="30"/>
      <c r="M162" s="30"/>
      <c r="N162" s="10"/>
      <c r="Q162" s="11"/>
    </row>
    <row r="163" spans="2:37" ht="13.5" customHeight="1" x14ac:dyDescent="0.15">
      <c r="B163" s="6"/>
      <c r="C163" s="29"/>
      <c r="D163" s="176"/>
      <c r="E163" s="29"/>
      <c r="F163" s="176"/>
      <c r="G163" s="187"/>
      <c r="H163" s="188"/>
      <c r="K163" s="26"/>
      <c r="L163" s="26"/>
      <c r="M163" s="26"/>
      <c r="N163" s="31"/>
      <c r="O163" s="26"/>
      <c r="AB163" s="22"/>
    </row>
    <row r="164" spans="2:37" ht="13.5" customHeight="1" x14ac:dyDescent="0.15">
      <c r="B164" s="6"/>
      <c r="C164" s="29"/>
      <c r="D164" s="176"/>
      <c r="E164" s="29"/>
      <c r="F164" s="176"/>
      <c r="G164" s="187"/>
      <c r="H164" s="188"/>
      <c r="K164" s="26"/>
      <c r="L164" s="26"/>
      <c r="M164" s="26"/>
      <c r="N164" s="31"/>
      <c r="O164" s="26"/>
      <c r="AB164" s="23"/>
    </row>
    <row r="165" spans="2:37" ht="13.5" customHeight="1" x14ac:dyDescent="0.15">
      <c r="B165" s="6"/>
      <c r="C165" s="29"/>
      <c r="D165" s="176"/>
      <c r="E165" s="11"/>
      <c r="F165" s="11"/>
      <c r="G165" s="187"/>
      <c r="H165" s="188"/>
      <c r="K165" s="26"/>
      <c r="L165" s="26"/>
      <c r="M165" s="26"/>
      <c r="N165" s="31"/>
      <c r="O165" s="26"/>
      <c r="AB165" s="23"/>
    </row>
    <row r="166" spans="2:37" ht="13.5" customHeight="1" x14ac:dyDescent="0.15">
      <c r="B166" s="6"/>
      <c r="C166" s="29"/>
      <c r="D166" s="176"/>
      <c r="E166" s="11"/>
      <c r="F166" s="11"/>
      <c r="G166" s="11"/>
      <c r="H166" s="11"/>
      <c r="K166" s="26"/>
      <c r="L166" s="26"/>
      <c r="M166" s="26"/>
      <c r="N166" s="31"/>
      <c r="O166" s="26"/>
      <c r="AB166" s="23"/>
    </row>
    <row r="167" spans="2:37" ht="13.5" customHeight="1" x14ac:dyDescent="0.15">
      <c r="B167" s="6"/>
      <c r="C167" s="29"/>
      <c r="D167" s="176"/>
      <c r="E167" s="11"/>
      <c r="F167" s="11"/>
      <c r="G167" s="11"/>
      <c r="H167" s="11"/>
      <c r="K167" s="26"/>
      <c r="L167" s="26"/>
      <c r="M167" s="26"/>
      <c r="N167" s="31"/>
      <c r="O167" s="26"/>
      <c r="AB167" s="23"/>
    </row>
    <row r="168" spans="2:37" ht="13.5" customHeight="1" x14ac:dyDescent="0.15">
      <c r="B168" s="6"/>
      <c r="C168" s="11"/>
      <c r="D168" s="11"/>
      <c r="E168" s="11"/>
      <c r="F168" s="11"/>
      <c r="G168" s="11"/>
      <c r="H168" s="11"/>
      <c r="K168" s="26"/>
      <c r="L168" s="26"/>
      <c r="M168" s="26"/>
      <c r="N168" s="31"/>
      <c r="O168" s="26"/>
      <c r="AB168" s="23"/>
    </row>
    <row r="169" spans="2:37" ht="13.5" customHeight="1" x14ac:dyDescent="0.15">
      <c r="B169" s="6"/>
      <c r="K169" s="26"/>
      <c r="L169" s="26"/>
      <c r="M169" s="26"/>
      <c r="N169" s="31"/>
      <c r="O169" s="26"/>
      <c r="AB169" s="23"/>
    </row>
    <row r="170" spans="2:37" ht="13.5" customHeight="1" x14ac:dyDescent="0.15">
      <c r="B170" s="6"/>
      <c r="K170" s="26"/>
      <c r="L170" s="26"/>
      <c r="M170" s="26"/>
      <c r="N170" s="31"/>
      <c r="O170" s="26"/>
      <c r="AB170" s="23"/>
    </row>
    <row r="171" spans="2:37" ht="13.5" customHeight="1" x14ac:dyDescent="0.15">
      <c r="B171" s="6"/>
      <c r="K171" s="26"/>
      <c r="L171" s="26"/>
      <c r="M171" s="26"/>
      <c r="N171" s="31"/>
      <c r="O171" s="26"/>
      <c r="AB171" s="23"/>
      <c r="AJ171" s="23"/>
      <c r="AK171" s="21"/>
    </row>
    <row r="172" spans="2:37" ht="13.5" customHeight="1" x14ac:dyDescent="0.15">
      <c r="B172" s="6"/>
      <c r="AB172" s="23"/>
      <c r="AJ172" s="23"/>
      <c r="AK172" s="21"/>
    </row>
    <row r="173" spans="2:37" ht="13.5" customHeight="1" x14ac:dyDescent="0.15">
      <c r="B173" s="6"/>
      <c r="AB173" s="23"/>
      <c r="AJ173" s="23"/>
      <c r="AK173" s="21"/>
    </row>
    <row r="174" spans="2:37" ht="13.5" customHeight="1" x14ac:dyDescent="0.15">
      <c r="B174" s="6"/>
      <c r="AB174" s="23"/>
      <c r="AF174" s="23"/>
      <c r="AG174" s="23"/>
    </row>
    <row r="175" spans="2:37" ht="13.5" customHeight="1" x14ac:dyDescent="0.15">
      <c r="B175" s="6"/>
      <c r="AB175" s="23"/>
      <c r="AF175" s="23"/>
      <c r="AG175" s="23"/>
    </row>
    <row r="176" spans="2:37" ht="13.5" customHeight="1" x14ac:dyDescent="0.15">
      <c r="B176" s="6"/>
      <c r="AB176" s="23"/>
      <c r="AF176" s="23"/>
      <c r="AG176" s="23"/>
    </row>
    <row r="177" spans="15:28" ht="13.5" customHeight="1" x14ac:dyDescent="0.15">
      <c r="AB177" s="23"/>
    </row>
    <row r="178" spans="15:28" ht="13.5" customHeight="1" x14ac:dyDescent="0.15">
      <c r="AB178" s="23"/>
    </row>
    <row r="179" spans="15:28" ht="13.5" customHeight="1" x14ac:dyDescent="0.15">
      <c r="AB179" s="23"/>
    </row>
    <row r="180" spans="15:28" ht="13.5" customHeight="1" x14ac:dyDescent="0.15">
      <c r="AB180" s="23"/>
    </row>
    <row r="181" spans="15:28" ht="13.5" customHeight="1" x14ac:dyDescent="0.15">
      <c r="AB181" s="23"/>
    </row>
    <row r="182" spans="15:28" ht="13.5" customHeight="1" x14ac:dyDescent="0.15">
      <c r="AB182" s="22"/>
    </row>
    <row r="183" spans="15:28" ht="13.5" customHeight="1" x14ac:dyDescent="0.15">
      <c r="AB183" s="23"/>
    </row>
    <row r="184" spans="15:28" ht="13.5" customHeight="1" x14ac:dyDescent="0.15">
      <c r="AB184" s="23"/>
    </row>
    <row r="185" spans="15:28" ht="13.5" customHeight="1" x14ac:dyDescent="0.15">
      <c r="AB185" s="23"/>
    </row>
    <row r="186" spans="15:28" ht="13.5" customHeight="1" x14ac:dyDescent="0.15">
      <c r="AB186" s="23"/>
    </row>
    <row r="187" spans="15:28" ht="13.5" customHeight="1" x14ac:dyDescent="0.15">
      <c r="AB187" s="23"/>
    </row>
    <row r="188" spans="15:28" ht="13.5" customHeight="1" x14ac:dyDescent="0.15">
      <c r="AB188" s="23"/>
    </row>
    <row r="189" spans="15:28" ht="13.5" customHeight="1" x14ac:dyDescent="0.15">
      <c r="O189" s="6"/>
      <c r="P189" s="6"/>
      <c r="Q189" s="6"/>
      <c r="R189" s="6"/>
      <c r="S189" s="8"/>
      <c r="AB189" s="23"/>
    </row>
    <row r="190" spans="15:28" ht="13.5" customHeight="1" x14ac:dyDescent="0.15">
      <c r="O190" s="6"/>
      <c r="P190" s="6"/>
      <c r="Q190" s="6"/>
      <c r="R190" s="6"/>
      <c r="S190" s="8"/>
      <c r="AB190" s="23"/>
    </row>
    <row r="191" spans="15:28" ht="13.5" customHeight="1" x14ac:dyDescent="0.15">
      <c r="O191" s="6"/>
      <c r="P191" s="6"/>
      <c r="Q191" s="6"/>
      <c r="R191" s="6"/>
      <c r="S191" s="8"/>
      <c r="AB191" s="23"/>
    </row>
    <row r="192" spans="15:28" ht="13.5" customHeight="1" x14ac:dyDescent="0.15">
      <c r="O192" s="6"/>
      <c r="P192" s="6"/>
      <c r="Q192" s="6"/>
      <c r="R192" s="6"/>
      <c r="S192" s="8"/>
      <c r="AB192" s="23"/>
    </row>
    <row r="193" spans="14:28" ht="13.5" customHeight="1" x14ac:dyDescent="0.15">
      <c r="O193" s="6"/>
      <c r="P193" s="6"/>
      <c r="Q193" s="6"/>
      <c r="R193" s="6"/>
      <c r="S193" s="8"/>
      <c r="AB193" s="23"/>
    </row>
    <row r="194" spans="14:28" ht="13.5" customHeight="1" x14ac:dyDescent="0.15">
      <c r="O194" s="6"/>
      <c r="P194" s="6"/>
      <c r="Q194" s="6"/>
      <c r="R194" s="6"/>
      <c r="S194" s="8"/>
      <c r="AB194" s="23"/>
    </row>
    <row r="195" spans="14:28" ht="13.5" customHeight="1" x14ac:dyDescent="0.15">
      <c r="O195" s="6"/>
      <c r="P195" s="6"/>
      <c r="Q195" s="6"/>
      <c r="R195" s="6"/>
      <c r="S195" s="8"/>
      <c r="AB195" s="23"/>
    </row>
    <row r="196" spans="14:28" ht="13.5" customHeight="1" x14ac:dyDescent="0.15">
      <c r="O196" s="6"/>
      <c r="P196" s="6"/>
      <c r="Q196" s="6"/>
      <c r="R196" s="6"/>
      <c r="S196" s="8"/>
      <c r="AB196" s="23"/>
    </row>
    <row r="197" spans="14:28" ht="13.5" customHeight="1" x14ac:dyDescent="0.15">
      <c r="O197" s="6"/>
      <c r="P197" s="6"/>
      <c r="Q197" s="6"/>
      <c r="R197" s="6"/>
      <c r="S197" s="8"/>
      <c r="AB197" s="23"/>
    </row>
    <row r="198" spans="14:28" ht="13.5" customHeight="1" x14ac:dyDescent="0.15">
      <c r="O198" s="6"/>
      <c r="P198" s="6"/>
      <c r="Q198" s="6"/>
      <c r="R198" s="6"/>
      <c r="S198" s="8"/>
      <c r="AB198" s="22"/>
    </row>
    <row r="199" spans="14:28" ht="13.5" customHeight="1" x14ac:dyDescent="0.15">
      <c r="O199" s="6"/>
      <c r="P199" s="6"/>
      <c r="Q199" s="6"/>
      <c r="R199" s="6"/>
      <c r="S199" s="8"/>
      <c r="AB199" s="23"/>
    </row>
    <row r="200" spans="14:28" ht="13.5" customHeight="1" x14ac:dyDescent="0.15">
      <c r="O200" s="6"/>
      <c r="P200" s="6"/>
      <c r="Q200" s="6"/>
      <c r="R200" s="6"/>
      <c r="S200" s="8"/>
      <c r="AB200" s="23"/>
    </row>
    <row r="201" spans="14:28" ht="13.5" customHeight="1" x14ac:dyDescent="0.15">
      <c r="O201" s="6"/>
      <c r="P201" s="6"/>
      <c r="Q201" s="6"/>
      <c r="R201" s="6"/>
      <c r="S201" s="8"/>
      <c r="AB201" s="23"/>
    </row>
    <row r="202" spans="14:28" ht="13.5" customHeight="1" x14ac:dyDescent="0.15">
      <c r="O202" s="6"/>
      <c r="P202" s="6"/>
      <c r="Q202" s="6"/>
      <c r="R202" s="6"/>
      <c r="S202" s="8"/>
      <c r="AB202" s="23"/>
    </row>
    <row r="203" spans="14:28" ht="13.5" customHeight="1" x14ac:dyDescent="0.15">
      <c r="O203" s="6"/>
      <c r="P203" s="6"/>
      <c r="Q203" s="6"/>
      <c r="R203" s="6"/>
      <c r="S203" s="8"/>
      <c r="AB203" s="23"/>
    </row>
    <row r="204" spans="14:28" ht="13.5" customHeight="1" x14ac:dyDescent="0.15">
      <c r="P204" s="23"/>
      <c r="AB204" s="23"/>
    </row>
    <row r="205" spans="14:28" ht="13.5" customHeight="1" x14ac:dyDescent="0.15">
      <c r="N205" s="24"/>
      <c r="P205" s="23"/>
      <c r="AB205" s="23"/>
    </row>
    <row r="206" spans="14:28" ht="13.5" customHeight="1" x14ac:dyDescent="0.15">
      <c r="N206" s="24"/>
      <c r="P206" s="23"/>
      <c r="AB206" s="23"/>
    </row>
    <row r="207" spans="14:28" ht="13.5" customHeight="1" x14ac:dyDescent="0.15">
      <c r="N207" s="24"/>
      <c r="P207" s="23"/>
      <c r="AB207" s="23"/>
    </row>
    <row r="208" spans="14:28" ht="13.5" customHeight="1" x14ac:dyDescent="0.15">
      <c r="N208" s="24"/>
      <c r="P208" s="23"/>
      <c r="AB208" s="23"/>
    </row>
    <row r="209" spans="14:28" ht="13.5" customHeight="1" x14ac:dyDescent="0.15">
      <c r="N209" s="24"/>
      <c r="P209" s="23"/>
      <c r="AB209" s="23"/>
    </row>
    <row r="210" spans="14:28" ht="13.5" customHeight="1" x14ac:dyDescent="0.15">
      <c r="P210" s="22"/>
      <c r="AB210" s="23"/>
    </row>
    <row r="211" spans="14:28" ht="13.5" customHeight="1" x14ac:dyDescent="0.15">
      <c r="P211" s="23"/>
      <c r="AB211" s="23"/>
    </row>
    <row r="212" spans="14:28" ht="13.5" customHeight="1" x14ac:dyDescent="0.15">
      <c r="P212" s="23"/>
      <c r="AB212" s="23"/>
    </row>
    <row r="213" spans="14:28" ht="13.5" customHeight="1" x14ac:dyDescent="0.15">
      <c r="P213" s="23"/>
      <c r="AB213" s="23"/>
    </row>
    <row r="214" spans="14:28" ht="13.5" customHeight="1" x14ac:dyDescent="0.15">
      <c r="P214" s="23"/>
      <c r="AB214" s="23"/>
    </row>
    <row r="215" spans="14:28" ht="13.5" customHeight="1" x14ac:dyDescent="0.15">
      <c r="P215" s="23"/>
      <c r="AB215" s="23"/>
    </row>
    <row r="216" spans="14:28" ht="13.5" customHeight="1" x14ac:dyDescent="0.15">
      <c r="P216" s="23"/>
      <c r="AB216" s="23"/>
    </row>
    <row r="217" spans="14:28" ht="13.5" customHeight="1" x14ac:dyDescent="0.15">
      <c r="P217" s="23"/>
      <c r="AB217" s="22"/>
    </row>
    <row r="218" spans="14:28" ht="13.5" customHeight="1" x14ac:dyDescent="0.15">
      <c r="P218" s="23"/>
      <c r="AB218" s="23"/>
    </row>
    <row r="219" spans="14:28" ht="13.5" customHeight="1" x14ac:dyDescent="0.15">
      <c r="P219" s="23"/>
      <c r="AB219" s="23"/>
    </row>
    <row r="220" spans="14:28" ht="13.5" customHeight="1" x14ac:dyDescent="0.15">
      <c r="P220" s="23"/>
      <c r="AB220" s="23"/>
    </row>
    <row r="221" spans="14:28" ht="13.5" customHeight="1" x14ac:dyDescent="0.15">
      <c r="P221" s="23"/>
      <c r="AB221" s="23"/>
    </row>
    <row r="222" spans="14:28" ht="13.5" customHeight="1" x14ac:dyDescent="0.15">
      <c r="P222" s="23"/>
      <c r="AB222" s="23"/>
    </row>
    <row r="223" spans="14:28" ht="13.5" customHeight="1" x14ac:dyDescent="0.15">
      <c r="P223" s="23"/>
      <c r="AB223" s="23"/>
    </row>
    <row r="224" spans="14:28" ht="13.5" customHeight="1" x14ac:dyDescent="0.15">
      <c r="P224" s="23"/>
      <c r="AB224" s="23"/>
    </row>
    <row r="225" spans="16:28" ht="13.5" customHeight="1" x14ac:dyDescent="0.15">
      <c r="P225" s="23"/>
      <c r="AB225" s="23"/>
    </row>
    <row r="226" spans="16:28" ht="13.5" customHeight="1" x14ac:dyDescent="0.15">
      <c r="P226" s="22"/>
      <c r="AB226" s="23"/>
    </row>
    <row r="227" spans="16:28" ht="13.5" customHeight="1" x14ac:dyDescent="0.15">
      <c r="P227" s="23"/>
      <c r="AB227" s="23"/>
    </row>
    <row r="228" spans="16:28" ht="13.5" customHeight="1" x14ac:dyDescent="0.15">
      <c r="P228" s="23"/>
      <c r="AB228" s="23"/>
    </row>
    <row r="229" spans="16:28" ht="13.5" customHeight="1" x14ac:dyDescent="0.15">
      <c r="P229" s="23"/>
      <c r="AB229" s="23"/>
    </row>
    <row r="230" spans="16:28" ht="13.5" customHeight="1" x14ac:dyDescent="0.15">
      <c r="P230" s="23"/>
      <c r="AB230" s="23"/>
    </row>
    <row r="231" spans="16:28" ht="13.5" customHeight="1" x14ac:dyDescent="0.15">
      <c r="P231" s="23"/>
      <c r="AB231" s="23"/>
    </row>
    <row r="232" spans="16:28" ht="13.5" customHeight="1" x14ac:dyDescent="0.15">
      <c r="P232" s="23"/>
      <c r="AB232" s="23"/>
    </row>
    <row r="233" spans="16:28" ht="13.5" customHeight="1" x14ac:dyDescent="0.15">
      <c r="P233" s="23"/>
      <c r="AB233" s="22"/>
    </row>
    <row r="234" spans="16:28" ht="13.5" customHeight="1" x14ac:dyDescent="0.15">
      <c r="P234" s="23"/>
      <c r="AB234" s="23"/>
    </row>
    <row r="235" spans="16:28" ht="13.5" customHeight="1" x14ac:dyDescent="0.15">
      <c r="P235" s="23"/>
      <c r="AB235" s="23"/>
    </row>
    <row r="236" spans="16:28" ht="13.5" customHeight="1" x14ac:dyDescent="0.15">
      <c r="P236" s="23"/>
      <c r="AB236" s="23"/>
    </row>
    <row r="237" spans="16:28" ht="13.5" customHeight="1" x14ac:dyDescent="0.15">
      <c r="P237" s="23"/>
      <c r="AB237" s="23"/>
    </row>
    <row r="238" spans="16:28" ht="13.5" customHeight="1" x14ac:dyDescent="0.15">
      <c r="P238" s="23"/>
      <c r="AB238" s="23"/>
    </row>
    <row r="239" spans="16:28" ht="13.5" customHeight="1" x14ac:dyDescent="0.15">
      <c r="P239" s="23"/>
      <c r="AB239" s="23"/>
    </row>
    <row r="240" spans="16:28" ht="13.5" customHeight="1" x14ac:dyDescent="0.15">
      <c r="P240" s="23"/>
      <c r="AB240" s="23"/>
    </row>
    <row r="241" spans="16:28" ht="13.5" customHeight="1" x14ac:dyDescent="0.15">
      <c r="P241" s="23"/>
      <c r="AB241" s="23"/>
    </row>
    <row r="242" spans="16:28" ht="13.5" customHeight="1" x14ac:dyDescent="0.15">
      <c r="P242" s="22"/>
      <c r="AB242" s="23"/>
    </row>
    <row r="243" spans="16:28" ht="13.5" customHeight="1" x14ac:dyDescent="0.15">
      <c r="P243" s="23"/>
      <c r="AB243" s="23"/>
    </row>
    <row r="244" spans="16:28" ht="13.5" customHeight="1" x14ac:dyDescent="0.15">
      <c r="P244" s="23"/>
      <c r="AB244" s="23"/>
    </row>
    <row r="245" spans="16:28" ht="13.5" customHeight="1" x14ac:dyDescent="0.15">
      <c r="P245" s="23"/>
      <c r="AB245" s="23"/>
    </row>
    <row r="246" spans="16:28" ht="13.5" customHeight="1" x14ac:dyDescent="0.15">
      <c r="P246" s="23"/>
      <c r="AB246" s="23"/>
    </row>
    <row r="247" spans="16:28" ht="13.5" customHeight="1" x14ac:dyDescent="0.15">
      <c r="P247" s="23"/>
      <c r="AB247" s="23"/>
    </row>
    <row r="248" spans="16:28" ht="13.5" customHeight="1" x14ac:dyDescent="0.15">
      <c r="P248" s="23"/>
      <c r="AB248" s="23"/>
    </row>
    <row r="249" spans="16:28" ht="13.5" customHeight="1" x14ac:dyDescent="0.15">
      <c r="P249" s="23"/>
      <c r="AB249" s="22"/>
    </row>
    <row r="250" spans="16:28" ht="13.5" customHeight="1" x14ac:dyDescent="0.15">
      <c r="P250" s="23"/>
      <c r="AB250" s="23"/>
    </row>
    <row r="251" spans="16:28" ht="13.5" customHeight="1" x14ac:dyDescent="0.15">
      <c r="P251" s="23"/>
      <c r="AB251" s="23"/>
    </row>
    <row r="252" spans="16:28" ht="13.5" customHeight="1" x14ac:dyDescent="0.15">
      <c r="P252" s="23"/>
      <c r="AB252" s="23"/>
    </row>
    <row r="253" spans="16:28" ht="13.5" customHeight="1" x14ac:dyDescent="0.15">
      <c r="P253" s="23"/>
      <c r="AB253" s="23"/>
    </row>
    <row r="254" spans="16:28" ht="13.5" customHeight="1" x14ac:dyDescent="0.15">
      <c r="P254" s="23"/>
      <c r="AB254" s="23"/>
    </row>
    <row r="255" spans="16:28" ht="13.5" customHeight="1" x14ac:dyDescent="0.15">
      <c r="P255" s="23"/>
      <c r="AB255" s="23"/>
    </row>
    <row r="256" spans="16:28" ht="13.5" customHeight="1" x14ac:dyDescent="0.15">
      <c r="P256" s="23"/>
      <c r="AB256" s="23"/>
    </row>
    <row r="257" spans="16:28" ht="13.5" customHeight="1" x14ac:dyDescent="0.15">
      <c r="P257" s="23"/>
      <c r="AB257" s="23"/>
    </row>
    <row r="258" spans="16:28" ht="13.5" customHeight="1" x14ac:dyDescent="0.15">
      <c r="P258" s="22"/>
      <c r="AB258" s="23"/>
    </row>
    <row r="259" spans="16:28" ht="13.5" customHeight="1" x14ac:dyDescent="0.15">
      <c r="P259" s="23"/>
      <c r="AB259" s="23"/>
    </row>
    <row r="260" spans="16:28" ht="13.5" customHeight="1" x14ac:dyDescent="0.15">
      <c r="P260" s="23"/>
      <c r="AB260" s="23"/>
    </row>
    <row r="261" spans="16:28" ht="13.5" customHeight="1" x14ac:dyDescent="0.15">
      <c r="P261" s="23"/>
      <c r="AB261" s="23"/>
    </row>
    <row r="262" spans="16:28" ht="13.5" customHeight="1" x14ac:dyDescent="0.15">
      <c r="P262" s="23"/>
      <c r="AB262" s="23"/>
    </row>
    <row r="263" spans="16:28" ht="13.5" customHeight="1" x14ac:dyDescent="0.15">
      <c r="P263" s="23"/>
      <c r="AB263" s="23"/>
    </row>
    <row r="264" spans="16:28" ht="13.5" customHeight="1" x14ac:dyDescent="0.15">
      <c r="P264" s="23"/>
      <c r="AB264" s="23"/>
    </row>
    <row r="265" spans="16:28" ht="13.5" customHeight="1" x14ac:dyDescent="0.15">
      <c r="P265" s="23"/>
      <c r="AB265" s="22"/>
    </row>
    <row r="266" spans="16:28" ht="13.5" customHeight="1" x14ac:dyDescent="0.15">
      <c r="P266" s="23"/>
      <c r="AB266" s="23"/>
    </row>
    <row r="267" spans="16:28" ht="13.5" customHeight="1" x14ac:dyDescent="0.15">
      <c r="P267" s="23"/>
      <c r="AB267" s="23"/>
    </row>
    <row r="268" spans="16:28" ht="13.5" customHeight="1" x14ac:dyDescent="0.15">
      <c r="P268" s="23"/>
      <c r="AB268" s="23"/>
    </row>
    <row r="269" spans="16:28" ht="13.5" customHeight="1" x14ac:dyDescent="0.15">
      <c r="P269" s="23"/>
      <c r="AB269" s="23"/>
    </row>
    <row r="270" spans="16:28" ht="13.5" customHeight="1" x14ac:dyDescent="0.15">
      <c r="P270" s="23"/>
      <c r="AB270" s="23"/>
    </row>
    <row r="271" spans="16:28" ht="13.5" customHeight="1" x14ac:dyDescent="0.15">
      <c r="P271" s="23"/>
      <c r="AB271" s="23"/>
    </row>
    <row r="272" spans="16:28" ht="13.5" customHeight="1" x14ac:dyDescent="0.15">
      <c r="P272" s="23"/>
      <c r="AB272" s="23"/>
    </row>
    <row r="273" spans="16:28" ht="13.5" customHeight="1" x14ac:dyDescent="0.15">
      <c r="P273" s="23"/>
      <c r="AB273" s="23"/>
    </row>
    <row r="274" spans="16:28" ht="13.5" customHeight="1" x14ac:dyDescent="0.15">
      <c r="P274" s="22"/>
      <c r="AB274" s="23"/>
    </row>
    <row r="275" spans="16:28" ht="13.5" customHeight="1" x14ac:dyDescent="0.15">
      <c r="P275" s="23"/>
      <c r="AB275" s="23"/>
    </row>
    <row r="276" spans="16:28" ht="13.5" customHeight="1" x14ac:dyDescent="0.15">
      <c r="P276" s="23"/>
      <c r="AB276" s="23"/>
    </row>
    <row r="277" spans="16:28" ht="13.5" customHeight="1" x14ac:dyDescent="0.15">
      <c r="P277" s="23"/>
      <c r="AB277" s="23"/>
    </row>
    <row r="278" spans="16:28" ht="13.5" customHeight="1" x14ac:dyDescent="0.15">
      <c r="P278" s="23"/>
      <c r="AB278" s="23"/>
    </row>
    <row r="279" spans="16:28" ht="13.5" customHeight="1" x14ac:dyDescent="0.15">
      <c r="P279" s="23"/>
      <c r="AB279" s="23"/>
    </row>
    <row r="280" spans="16:28" ht="13.5" customHeight="1" x14ac:dyDescent="0.15">
      <c r="P280" s="23"/>
      <c r="AB280" s="23"/>
    </row>
    <row r="281" spans="16:28" ht="13.5" customHeight="1" x14ac:dyDescent="0.15">
      <c r="P281" s="23"/>
      <c r="AB281" s="22"/>
    </row>
    <row r="282" spans="16:28" ht="13.5" customHeight="1" x14ac:dyDescent="0.15">
      <c r="P282" s="23"/>
      <c r="AB282" s="23"/>
    </row>
    <row r="283" spans="16:28" ht="13.5" customHeight="1" x14ac:dyDescent="0.15">
      <c r="P283" s="23"/>
      <c r="AB283" s="23"/>
    </row>
    <row r="284" spans="16:28" ht="13.5" customHeight="1" x14ac:dyDescent="0.15">
      <c r="P284" s="23"/>
      <c r="AB284" s="23"/>
    </row>
    <row r="285" spans="16:28" ht="13.5" customHeight="1" x14ac:dyDescent="0.15">
      <c r="P285" s="23"/>
      <c r="AB285" s="23"/>
    </row>
    <row r="286" spans="16:28" ht="13.5" customHeight="1" x14ac:dyDescent="0.15">
      <c r="P286" s="23"/>
      <c r="AB286" s="23"/>
    </row>
    <row r="287" spans="16:28" ht="13.5" customHeight="1" x14ac:dyDescent="0.15">
      <c r="P287" s="23"/>
      <c r="AB287" s="23"/>
    </row>
    <row r="288" spans="16:28" ht="13.5" customHeight="1" x14ac:dyDescent="0.15">
      <c r="P288" s="23"/>
      <c r="AB288" s="23"/>
    </row>
    <row r="289" spans="16:28" ht="13.5" customHeight="1" x14ac:dyDescent="0.15">
      <c r="P289" s="23"/>
      <c r="AB289" s="23"/>
    </row>
    <row r="290" spans="16:28" ht="13.5" customHeight="1" x14ac:dyDescent="0.15">
      <c r="P290" s="22"/>
      <c r="AB290" s="23"/>
    </row>
    <row r="291" spans="16:28" ht="13.5" customHeight="1" x14ac:dyDescent="0.15">
      <c r="P291" s="21"/>
      <c r="AB291" s="23"/>
    </row>
    <row r="292" spans="16:28" ht="13.5" customHeight="1" x14ac:dyDescent="0.15">
      <c r="P292" s="21"/>
      <c r="AB292" s="23"/>
    </row>
    <row r="293" spans="16:28" ht="13.5" customHeight="1" x14ac:dyDescent="0.15">
      <c r="P293" s="21"/>
      <c r="AB293" s="23"/>
    </row>
    <row r="294" spans="16:28" ht="13.5" customHeight="1" x14ac:dyDescent="0.15">
      <c r="P294" s="21"/>
      <c r="AB294" s="23"/>
    </row>
    <row r="295" spans="16:28" ht="13.5" customHeight="1" x14ac:dyDescent="0.15">
      <c r="P295" s="21"/>
      <c r="AB295" s="23"/>
    </row>
    <row r="296" spans="16:28" ht="13.5" customHeight="1" x14ac:dyDescent="0.15">
      <c r="P296" s="21"/>
      <c r="AB296" s="23"/>
    </row>
    <row r="297" spans="16:28" ht="13.5" customHeight="1" x14ac:dyDescent="0.15">
      <c r="P297" s="21"/>
      <c r="AB297" s="22"/>
    </row>
    <row r="298" spans="16:28" ht="13.5" customHeight="1" x14ac:dyDescent="0.15">
      <c r="P298" s="21"/>
      <c r="AB298" s="21"/>
    </row>
    <row r="299" spans="16:28" ht="13.5" customHeight="1" x14ac:dyDescent="0.15">
      <c r="P299" s="21"/>
      <c r="AB299" s="21"/>
    </row>
    <row r="300" spans="16:28" ht="13.5" customHeight="1" x14ac:dyDescent="0.15">
      <c r="P300" s="21"/>
      <c r="AB300" s="21"/>
    </row>
    <row r="301" spans="16:28" ht="13.5" customHeight="1" x14ac:dyDescent="0.15">
      <c r="P301" s="21"/>
      <c r="AB301" s="21"/>
    </row>
    <row r="302" spans="16:28" ht="13.5" customHeight="1" x14ac:dyDescent="0.15">
      <c r="P302" s="21"/>
      <c r="AB302" s="21"/>
    </row>
    <row r="303" spans="16:28" ht="13.5" customHeight="1" x14ac:dyDescent="0.15">
      <c r="P303" s="21"/>
      <c r="AB303" s="21"/>
    </row>
    <row r="304" spans="16:28" ht="13.5" customHeight="1" x14ac:dyDescent="0.15">
      <c r="P304" s="21"/>
      <c r="AB304" s="21"/>
    </row>
    <row r="305" spans="16:28" ht="13.5" customHeight="1" x14ac:dyDescent="0.15">
      <c r="P305" s="21"/>
      <c r="AB305" s="21"/>
    </row>
    <row r="306" spans="16:28" ht="13.5" customHeight="1" x14ac:dyDescent="0.15">
      <c r="AB306" s="21"/>
    </row>
    <row r="307" spans="16:28" ht="13.5" customHeight="1" x14ac:dyDescent="0.15">
      <c r="AB307" s="21"/>
    </row>
    <row r="308" spans="16:28" ht="13.5" customHeight="1" x14ac:dyDescent="0.15">
      <c r="AB308" s="21"/>
    </row>
    <row r="309" spans="16:28" ht="13.5" customHeight="1" x14ac:dyDescent="0.15">
      <c r="AB309" s="21"/>
    </row>
    <row r="310" spans="16:28" ht="13.5" customHeight="1" x14ac:dyDescent="0.15">
      <c r="AB310" s="21"/>
    </row>
    <row r="311" spans="16:28" ht="13.5" customHeight="1" x14ac:dyDescent="0.15">
      <c r="AB311" s="21"/>
    </row>
    <row r="312" spans="16:28" ht="13.5" customHeight="1" x14ac:dyDescent="0.15">
      <c r="AB312" s="21"/>
    </row>
  </sheetData>
  <sheetProtection sheet="1" objects="1" scenarios="1"/>
  <mergeCells count="305">
    <mergeCell ref="AA46:AA53"/>
    <mergeCell ref="AA54:AA61"/>
    <mergeCell ref="AA62:AA69"/>
    <mergeCell ref="V53:X54"/>
    <mergeCell ref="V55:X55"/>
    <mergeCell ref="V56:X57"/>
    <mergeCell ref="V58:X58"/>
    <mergeCell ref="L59:R59"/>
    <mergeCell ref="O54:P54"/>
    <mergeCell ref="Q54:R54"/>
    <mergeCell ref="O57:P57"/>
    <mergeCell ref="Q57:R57"/>
    <mergeCell ref="O61:P61"/>
    <mergeCell ref="Q61:R61"/>
    <mergeCell ref="O53:P53"/>
    <mergeCell ref="O51:P52"/>
    <mergeCell ref="O56:P56"/>
    <mergeCell ref="O60:P60"/>
    <mergeCell ref="A122:A127"/>
    <mergeCell ref="H37:I37"/>
    <mergeCell ref="G44:L44"/>
    <mergeCell ref="S53:U54"/>
    <mergeCell ref="S55:U55"/>
    <mergeCell ref="S56:U57"/>
    <mergeCell ref="S58:U58"/>
    <mergeCell ref="C44:E44"/>
    <mergeCell ref="C46:E46"/>
    <mergeCell ref="B79:D79"/>
    <mergeCell ref="C37:G37"/>
    <mergeCell ref="C51:E52"/>
    <mergeCell ref="N48:V48"/>
    <mergeCell ref="G46:L46"/>
    <mergeCell ref="M46:R46"/>
    <mergeCell ref="L60:N60"/>
    <mergeCell ref="L57:N57"/>
    <mergeCell ref="A117:A121"/>
    <mergeCell ref="S59:X59"/>
    <mergeCell ref="S60:U60"/>
    <mergeCell ref="V60:X60"/>
    <mergeCell ref="C49:E50"/>
    <mergeCell ref="F49:K50"/>
    <mergeCell ref="L53:N53"/>
    <mergeCell ref="C55:E55"/>
    <mergeCell ref="C56:E57"/>
    <mergeCell ref="C58:E58"/>
    <mergeCell ref="C59:E59"/>
    <mergeCell ref="C60:E61"/>
    <mergeCell ref="F61:K61"/>
    <mergeCell ref="B80:D80"/>
    <mergeCell ref="C76:E76"/>
    <mergeCell ref="C45:E45"/>
    <mergeCell ref="C35:D35"/>
    <mergeCell ref="E35:G35"/>
    <mergeCell ref="H35:L35"/>
    <mergeCell ref="M35:N35"/>
    <mergeCell ref="O35:S35"/>
    <mergeCell ref="T35:U35"/>
    <mergeCell ref="C30:D30"/>
    <mergeCell ref="C31:D31"/>
    <mergeCell ref="C53:E54"/>
    <mergeCell ref="L49:N50"/>
    <mergeCell ref="O49:R50"/>
    <mergeCell ref="L54:N54"/>
    <mergeCell ref="E30:G30"/>
    <mergeCell ref="H30:L30"/>
    <mergeCell ref="Q76:X76"/>
    <mergeCell ref="V148:X148"/>
    <mergeCell ref="V154:X154"/>
    <mergeCell ref="E32:G32"/>
    <mergeCell ref="H32:M32"/>
    <mergeCell ref="O32:T32"/>
    <mergeCell ref="V32:X32"/>
    <mergeCell ref="E33:G33"/>
    <mergeCell ref="H33:M33"/>
    <mergeCell ref="O33:T33"/>
    <mergeCell ref="V33:X33"/>
    <mergeCell ref="F60:K60"/>
    <mergeCell ref="F59:K59"/>
    <mergeCell ref="F58:K58"/>
    <mergeCell ref="F57:K57"/>
    <mergeCell ref="F56:K56"/>
    <mergeCell ref="F55:K55"/>
    <mergeCell ref="F54:K54"/>
    <mergeCell ref="F53:K53"/>
    <mergeCell ref="I150:M150"/>
    <mergeCell ref="I151:M151"/>
    <mergeCell ref="W43:X43"/>
    <mergeCell ref="N41:V41"/>
    <mergeCell ref="N43:V43"/>
    <mergeCell ref="V28:X28"/>
    <mergeCell ref="M45:R45"/>
    <mergeCell ref="V35:X35"/>
    <mergeCell ref="M44:R44"/>
    <mergeCell ref="G45:L45"/>
    <mergeCell ref="S49:X50"/>
    <mergeCell ref="S61:U61"/>
    <mergeCell ref="V61:X61"/>
    <mergeCell ref="S52:U52"/>
    <mergeCell ref="V52:X52"/>
    <mergeCell ref="S51:U51"/>
    <mergeCell ref="V51:X51"/>
    <mergeCell ref="F51:K52"/>
    <mergeCell ref="L51:N52"/>
    <mergeCell ref="R51:R52"/>
    <mergeCell ref="O34:T34"/>
    <mergeCell ref="V34:X34"/>
    <mergeCell ref="W41:X41"/>
    <mergeCell ref="L61:N61"/>
    <mergeCell ref="W48:X48"/>
    <mergeCell ref="L56:N56"/>
    <mergeCell ref="L55:R55"/>
    <mergeCell ref="L58:R58"/>
    <mergeCell ref="N148:Q148"/>
    <mergeCell ref="S148:T148"/>
    <mergeCell ref="S155:T155"/>
    <mergeCell ref="I149:M149"/>
    <mergeCell ref="P97:P102"/>
    <mergeCell ref="I152:M152"/>
    <mergeCell ref="I153:M153"/>
    <mergeCell ref="I154:M154"/>
    <mergeCell ref="I155:M155"/>
    <mergeCell ref="P103:P107"/>
    <mergeCell ref="S154:T154"/>
    <mergeCell ref="O149:Q149"/>
    <mergeCell ref="O150:Q150"/>
    <mergeCell ref="O151:Q151"/>
    <mergeCell ref="O152:Q152"/>
    <mergeCell ref="O153:Q153"/>
    <mergeCell ref="O154:Q154"/>
    <mergeCell ref="F149:G149"/>
    <mergeCell ref="F150:G151"/>
    <mergeCell ref="F152:G153"/>
    <mergeCell ref="F154:G155"/>
    <mergeCell ref="V155:X155"/>
    <mergeCell ref="S149:T149"/>
    <mergeCell ref="S150:T150"/>
    <mergeCell ref="S151:T151"/>
    <mergeCell ref="S152:T152"/>
    <mergeCell ref="S153:T153"/>
    <mergeCell ref="O155:Q155"/>
    <mergeCell ref="V149:X149"/>
    <mergeCell ref="V150:X150"/>
    <mergeCell ref="V151:X151"/>
    <mergeCell ref="V152:X152"/>
    <mergeCell ref="V153:X153"/>
    <mergeCell ref="E23:G23"/>
    <mergeCell ref="C26:D26"/>
    <mergeCell ref="V26:X26"/>
    <mergeCell ref="E26:G26"/>
    <mergeCell ref="H26:M26"/>
    <mergeCell ref="O26:T26"/>
    <mergeCell ref="J37:N37"/>
    <mergeCell ref="O37:P37"/>
    <mergeCell ref="Q37:U37"/>
    <mergeCell ref="E27:G27"/>
    <mergeCell ref="H27:M27"/>
    <mergeCell ref="O27:T27"/>
    <mergeCell ref="M30:N30"/>
    <mergeCell ref="O30:S30"/>
    <mergeCell ref="T30:U30"/>
    <mergeCell ref="V27:X27"/>
    <mergeCell ref="E29:G29"/>
    <mergeCell ref="H29:M29"/>
    <mergeCell ref="V30:X30"/>
    <mergeCell ref="E31:G31"/>
    <mergeCell ref="H31:M31"/>
    <mergeCell ref="O31:T31"/>
    <mergeCell ref="V31:X31"/>
    <mergeCell ref="O28:T28"/>
    <mergeCell ref="V17:X17"/>
    <mergeCell ref="E18:G18"/>
    <mergeCell ref="H18:M18"/>
    <mergeCell ref="O18:T18"/>
    <mergeCell ref="V18:X18"/>
    <mergeCell ref="C25:D25"/>
    <mergeCell ref="E25:G25"/>
    <mergeCell ref="H25:L25"/>
    <mergeCell ref="M25:N25"/>
    <mergeCell ref="O25:S25"/>
    <mergeCell ref="T25:U25"/>
    <mergeCell ref="H24:M24"/>
    <mergeCell ref="O24:T24"/>
    <mergeCell ref="V24:X24"/>
    <mergeCell ref="E24:G24"/>
    <mergeCell ref="V25:X25"/>
    <mergeCell ref="C22:D24"/>
    <mergeCell ref="H23:M23"/>
    <mergeCell ref="O23:T23"/>
    <mergeCell ref="V23:X23"/>
    <mergeCell ref="E22:G22"/>
    <mergeCell ref="H22:M22"/>
    <mergeCell ref="O22:T22"/>
    <mergeCell ref="V22:X22"/>
    <mergeCell ref="O13:T13"/>
    <mergeCell ref="V13:X13"/>
    <mergeCell ref="E14:G14"/>
    <mergeCell ref="H14:M14"/>
    <mergeCell ref="C12:D14"/>
    <mergeCell ref="C21:D21"/>
    <mergeCell ref="E21:G21"/>
    <mergeCell ref="H21:M21"/>
    <mergeCell ref="O21:T21"/>
    <mergeCell ref="V21:X21"/>
    <mergeCell ref="E19:G19"/>
    <mergeCell ref="H19:M19"/>
    <mergeCell ref="O19:T19"/>
    <mergeCell ref="V19:X19"/>
    <mergeCell ref="C20:D20"/>
    <mergeCell ref="E20:G20"/>
    <mergeCell ref="H20:L20"/>
    <mergeCell ref="M20:N20"/>
    <mergeCell ref="O20:S20"/>
    <mergeCell ref="T20:U20"/>
    <mergeCell ref="V20:X20"/>
    <mergeCell ref="C17:D19"/>
    <mergeCell ref="H17:M17"/>
    <mergeCell ref="O17:T17"/>
    <mergeCell ref="V6:X7"/>
    <mergeCell ref="E17:G17"/>
    <mergeCell ref="H7:K7"/>
    <mergeCell ref="L7:N7"/>
    <mergeCell ref="O7:R7"/>
    <mergeCell ref="S7:U7"/>
    <mergeCell ref="C11:D11"/>
    <mergeCell ref="E11:G11"/>
    <mergeCell ref="H11:M11"/>
    <mergeCell ref="O11:T11"/>
    <mergeCell ref="V11:X11"/>
    <mergeCell ref="C16:D16"/>
    <mergeCell ref="E16:G16"/>
    <mergeCell ref="H16:M16"/>
    <mergeCell ref="O16:T16"/>
    <mergeCell ref="V16:X16"/>
    <mergeCell ref="C15:D15"/>
    <mergeCell ref="E15:G15"/>
    <mergeCell ref="H15:L15"/>
    <mergeCell ref="M15:N15"/>
    <mergeCell ref="O15:S15"/>
    <mergeCell ref="T15:U15"/>
    <mergeCell ref="E13:G13"/>
    <mergeCell ref="H13:M13"/>
    <mergeCell ref="H6:K6"/>
    <mergeCell ref="V15:X15"/>
    <mergeCell ref="L6:N6"/>
    <mergeCell ref="O6:R6"/>
    <mergeCell ref="S6:U6"/>
    <mergeCell ref="O8:R8"/>
    <mergeCell ref="V8:X8"/>
    <mergeCell ref="O14:T14"/>
    <mergeCell ref="E12:G12"/>
    <mergeCell ref="H12:M12"/>
    <mergeCell ref="O12:T12"/>
    <mergeCell ref="V12:X12"/>
    <mergeCell ref="E10:G10"/>
    <mergeCell ref="H10:L10"/>
    <mergeCell ref="M10:N10"/>
    <mergeCell ref="O10:S10"/>
    <mergeCell ref="T10:U10"/>
    <mergeCell ref="V10:X10"/>
    <mergeCell ref="V14:X14"/>
    <mergeCell ref="S9:T9"/>
    <mergeCell ref="L9:M9"/>
    <mergeCell ref="O9:R9"/>
    <mergeCell ref="V9:X9"/>
    <mergeCell ref="H9:K9"/>
    <mergeCell ref="AA38:AA45"/>
    <mergeCell ref="AA30:AA37"/>
    <mergeCell ref="AA22:AA29"/>
    <mergeCell ref="AA14:AA21"/>
    <mergeCell ref="AA6:AA13"/>
    <mergeCell ref="AJ3:AJ5"/>
    <mergeCell ref="AF2:AG2"/>
    <mergeCell ref="AH2:AI2"/>
    <mergeCell ref="AC3:AC5"/>
    <mergeCell ref="AD3:AD5"/>
    <mergeCell ref="AF3:AF5"/>
    <mergeCell ref="AG3:AG5"/>
    <mergeCell ref="AH3:AH5"/>
    <mergeCell ref="AC2:AE2"/>
    <mergeCell ref="AI3:AI5"/>
    <mergeCell ref="AE3:AE5"/>
    <mergeCell ref="C9:D9"/>
    <mergeCell ref="E9:G9"/>
    <mergeCell ref="AK3:AK5"/>
    <mergeCell ref="C5:D5"/>
    <mergeCell ref="E5:G5"/>
    <mergeCell ref="H5:N5"/>
    <mergeCell ref="A1:Y1"/>
    <mergeCell ref="C27:D29"/>
    <mergeCell ref="C32:D34"/>
    <mergeCell ref="H28:M28"/>
    <mergeCell ref="O29:T29"/>
    <mergeCell ref="V29:X29"/>
    <mergeCell ref="E28:G28"/>
    <mergeCell ref="E34:G34"/>
    <mergeCell ref="H34:M34"/>
    <mergeCell ref="C8:D8"/>
    <mergeCell ref="E8:G8"/>
    <mergeCell ref="H8:K8"/>
    <mergeCell ref="C6:D6"/>
    <mergeCell ref="AJ2:AK2"/>
    <mergeCell ref="O5:U5"/>
    <mergeCell ref="V5:X5"/>
    <mergeCell ref="C7:D7"/>
    <mergeCell ref="E6:G7"/>
  </mergeCells>
  <phoneticPr fontId="2"/>
  <conditionalFormatting sqref="N11:N14 U11:U14 N16:N19 U16:U19 U21:U24 N21:N24 N26:N29 U26:U29 N31:N34 U31:U34">
    <cfRule type="cellIs" dxfId="28" priority="13" operator="equal">
      <formula>0</formula>
    </cfRule>
  </conditionalFormatting>
  <conditionalFormatting sqref="F54 F61:N61 L54:N54">
    <cfRule type="containsText" dxfId="27" priority="3" operator="containsText" text="選択なし">
      <formula>NOT(ISERROR(SEARCH("選択なし",F54)))</formula>
    </cfRule>
  </conditionalFormatting>
  <conditionalFormatting sqref="F57:K57">
    <cfRule type="containsText" dxfId="26" priority="1" operator="containsText" text="選択なし">
      <formula>NOT(ISERROR(SEARCH("選択なし",F57)))</formula>
    </cfRule>
  </conditionalFormatting>
  <dataValidations count="9">
    <dataValidation type="list" allowBlank="1" showInputMessage="1" showErrorMessage="1" sqref="S149:S155 T154 T152 T150 L60:L61 L56:L57 L51 L53:L54">
      <formula1>能率</formula1>
    </dataValidation>
    <dataValidation type="list" allowBlank="1" showInputMessage="1" showErrorMessage="1" sqref="O26:O29 H31:H34 O31:O34 H21:H24 O16:O19 O21:O24 H16:H19 H26:H29 O11:O14 H12:H14 H11:M11">
      <formula1>内容</formula1>
    </dataValidation>
    <dataValidation type="list" allowBlank="1" showInputMessage="1" showErrorMessage="1" sqref="I152:I153 K152:M153 F56:F57">
      <formula1>タスクD</formula1>
    </dataValidation>
    <dataValidation type="list" allowBlank="1" showInputMessage="1" showErrorMessage="1" sqref="I149 F51">
      <formula1>タスクA</formula1>
    </dataValidation>
    <dataValidation type="list" allowBlank="1" showInputMessage="1" showErrorMessage="1" sqref="K154:M155 I154:I155 F61 F60:K60">
      <formula1>タスクG</formula1>
    </dataValidation>
    <dataValidation type="list" allowBlank="1" showInputMessage="1" showErrorMessage="1" sqref="K150:M151 I150:I151 F53:F54">
      <formula1>タスクB</formula1>
    </dataValidation>
    <dataValidation type="list" allowBlank="1" showInputMessage="1" showErrorMessage="1" sqref="F59">
      <formula1>指示内容</formula1>
    </dataValidation>
    <dataValidation type="list" allowBlank="1" showInputMessage="1" showErrorMessage="1" sqref="S52:U52">
      <formula1>タスクA時間選択</formula1>
    </dataValidation>
    <dataValidation type="list" allowBlank="1" showInputMessage="1" showErrorMessage="1" sqref="C15 C25 C30 C35 C20">
      <formula1>曜日の設定</formula1>
    </dataValidation>
  </dataValidations>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5</xdr:col>
                    <xdr:colOff>28575</xdr:colOff>
                    <xdr:row>44</xdr:row>
                    <xdr:rowOff>19050</xdr:rowOff>
                  </from>
                  <to>
                    <xdr:col>5</xdr:col>
                    <xdr:colOff>238125</xdr:colOff>
                    <xdr:row>44</xdr:row>
                    <xdr:rowOff>161925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28575</xdr:colOff>
                    <xdr:row>45</xdr:row>
                    <xdr:rowOff>0</xdr:rowOff>
                  </from>
                  <to>
                    <xdr:col>5</xdr:col>
                    <xdr:colOff>228600</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9"/>
  <sheetViews>
    <sheetView zoomScale="109" zoomScaleNormal="115" workbookViewId="0">
      <selection activeCell="AP14" sqref="AP14"/>
    </sheetView>
  </sheetViews>
  <sheetFormatPr defaultColWidth="2.625" defaultRowHeight="13.5" x14ac:dyDescent="0.15"/>
  <cols>
    <col min="1" max="25" width="2.625" style="134"/>
    <col min="26" max="26" width="2.75" style="134" customWidth="1"/>
    <col min="27" max="43" width="2.625" style="134"/>
    <col min="44" max="44" width="6.5" style="134" hidden="1" customWidth="1"/>
    <col min="45" max="45" width="7.5" style="134" hidden="1" customWidth="1"/>
    <col min="46" max="46" width="5.5" style="134" hidden="1" customWidth="1"/>
    <col min="47" max="16384" width="2.625" style="134"/>
  </cols>
  <sheetData>
    <row r="1" spans="1:46" ht="16.149999999999999" customHeight="1" x14ac:dyDescent="0.15">
      <c r="A1" s="534" t="s">
        <v>280</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161"/>
    </row>
    <row r="2" spans="1:46" ht="13.5" customHeight="1" x14ac:dyDescent="0.15">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161"/>
    </row>
    <row r="3" spans="1:46"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89"/>
      <c r="Z3" s="161"/>
      <c r="AA3" s="161"/>
      <c r="AB3" s="161"/>
      <c r="AC3" s="161"/>
      <c r="AD3" s="161"/>
      <c r="AE3" s="189"/>
      <c r="AF3" s="161"/>
      <c r="AG3" s="161"/>
      <c r="AH3" s="161"/>
      <c r="AI3" s="161"/>
      <c r="AJ3" s="161"/>
      <c r="AK3" s="161"/>
      <c r="AL3" s="161"/>
    </row>
    <row r="4" spans="1:46" ht="14.25" x14ac:dyDescent="0.15">
      <c r="A4" s="538" t="s">
        <v>84</v>
      </c>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190"/>
    </row>
    <row r="5" spans="1:46" ht="14.25" x14ac:dyDescent="0.15">
      <c r="A5" s="174"/>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90"/>
    </row>
    <row r="6" spans="1:46" x14ac:dyDescent="0.15">
      <c r="A6" s="190"/>
      <c r="B6" s="191" t="s">
        <v>315</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1:46" ht="13.5" customHeight="1" x14ac:dyDescent="0.15">
      <c r="A7" s="190"/>
      <c r="B7" s="539" t="s">
        <v>126</v>
      </c>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190"/>
    </row>
    <row r="8" spans="1:46" x14ac:dyDescent="0.15">
      <c r="A8" s="190"/>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190"/>
    </row>
    <row r="9" spans="1:46" x14ac:dyDescent="0.15">
      <c r="A9" s="190"/>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190"/>
    </row>
    <row r="10" spans="1:46" x14ac:dyDescent="0.15">
      <c r="A10" s="190"/>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190"/>
    </row>
    <row r="11" spans="1:46" x14ac:dyDescent="0.15">
      <c r="A11" s="190"/>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190"/>
    </row>
    <row r="12" spans="1:46" x14ac:dyDescent="0.1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46" x14ac:dyDescent="0.15">
      <c r="A13" s="190"/>
      <c r="B13" s="535" t="s">
        <v>328</v>
      </c>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161"/>
      <c r="AL13" s="190"/>
    </row>
    <row r="14" spans="1:46" x14ac:dyDescent="0.15">
      <c r="A14" s="190"/>
      <c r="B14" s="191" t="s">
        <v>96</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R14" s="201" t="s">
        <v>108</v>
      </c>
      <c r="AS14" s="201"/>
      <c r="AT14" s="201"/>
    </row>
    <row r="15" spans="1:46" x14ac:dyDescent="0.15">
      <c r="A15" s="190"/>
      <c r="B15" s="161" t="s">
        <v>127</v>
      </c>
      <c r="C15" s="161"/>
      <c r="D15" s="161"/>
      <c r="E15" s="540">
        <f>タスクる!$S$52</f>
        <v>0</v>
      </c>
      <c r="F15" s="540"/>
      <c r="G15" s="540"/>
      <c r="H15" s="161" t="s">
        <v>230</v>
      </c>
      <c r="I15" s="541" t="str">
        <f>IFERROR(LEFT(AS20,6),"")</f>
        <v>0</v>
      </c>
      <c r="J15" s="541"/>
      <c r="K15" s="541"/>
      <c r="L15" s="541"/>
      <c r="M15" s="541"/>
      <c r="N15" s="541"/>
      <c r="O15" s="161" t="s">
        <v>86</v>
      </c>
      <c r="Q15" s="161"/>
      <c r="R15" s="161"/>
      <c r="S15" s="161"/>
      <c r="T15" s="161"/>
      <c r="U15" s="161"/>
      <c r="V15" s="161"/>
      <c r="W15" s="161"/>
      <c r="X15" s="161"/>
      <c r="Y15" s="161"/>
      <c r="Z15" s="161"/>
      <c r="AA15" s="161"/>
      <c r="AB15" s="161"/>
      <c r="AC15" s="542" t="str">
        <f>IFERROR(VLOOKUP(E15,タスクＡ時間設定,2,FALSE),"")</f>
        <v/>
      </c>
      <c r="AD15" s="542"/>
      <c r="AE15" s="542"/>
      <c r="AF15" s="542"/>
      <c r="AG15" s="542"/>
      <c r="AH15" s="161" t="s">
        <v>231</v>
      </c>
      <c r="AI15" s="192"/>
      <c r="AJ15" s="161"/>
      <c r="AK15" s="161"/>
      <c r="AL15" s="190"/>
      <c r="AR15" s="201" t="s">
        <v>122</v>
      </c>
      <c r="AS15" s="201"/>
      <c r="AT15" s="201"/>
    </row>
    <row r="16" spans="1:46" x14ac:dyDescent="0.15">
      <c r="A16" s="190"/>
      <c r="B16" s="161" t="s">
        <v>232</v>
      </c>
      <c r="C16" s="161"/>
      <c r="D16" s="161"/>
      <c r="E16" s="161"/>
      <c r="F16" s="161"/>
      <c r="G16" s="161"/>
      <c r="H16" s="161"/>
      <c r="I16" s="537" t="str">
        <f>IFERROR(VLOOKUP(E15,タスクＡ時間設定,3,FALSE),"")</f>
        <v/>
      </c>
      <c r="J16" s="537"/>
      <c r="K16" s="537"/>
      <c r="L16" s="161" t="s">
        <v>87</v>
      </c>
      <c r="M16" s="193"/>
      <c r="N16" s="193"/>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90"/>
      <c r="AR16" s="206" t="s">
        <v>109</v>
      </c>
      <c r="AS16" s="206">
        <f>タスクる!$L$7</f>
        <v>0.5</v>
      </c>
      <c r="AT16" s="201" t="s">
        <v>2</v>
      </c>
    </row>
    <row r="17" spans="1:46" x14ac:dyDescent="0.15">
      <c r="A17" s="190"/>
      <c r="B17" s="161" t="s">
        <v>128</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90"/>
      <c r="AR17" s="206" t="s">
        <v>110</v>
      </c>
      <c r="AS17" s="206">
        <f>タスクる!$S$7</f>
        <v>0.625</v>
      </c>
      <c r="AT17" s="201" t="s">
        <v>107</v>
      </c>
    </row>
    <row r="18" spans="1:46" x14ac:dyDescent="0.15">
      <c r="A18" s="19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90"/>
      <c r="AR18" s="201"/>
      <c r="AS18" s="201"/>
      <c r="AT18" s="201"/>
    </row>
    <row r="19" spans="1:46" ht="13.5" customHeight="1" x14ac:dyDescent="0.15">
      <c r="A19" s="190"/>
      <c r="B19" s="191" t="s">
        <v>329</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R19" s="201" t="s">
        <v>206</v>
      </c>
      <c r="AS19" s="201"/>
      <c r="AT19" s="201"/>
    </row>
    <row r="20" spans="1:46" x14ac:dyDescent="0.15">
      <c r="A20" s="190"/>
      <c r="B20" s="546" t="str">
        <f>タスクる!$C$32</f>
        <v>11月12日</v>
      </c>
      <c r="C20" s="546"/>
      <c r="D20" s="546"/>
      <c r="E20" s="546"/>
      <c r="F20" s="546"/>
      <c r="G20" s="545" t="str">
        <f>タスクる!$C$35</f>
        <v>金曜日</v>
      </c>
      <c r="H20" s="545"/>
      <c r="I20" s="545"/>
      <c r="J20" s="216" t="s">
        <v>88</v>
      </c>
      <c r="K20" s="161"/>
      <c r="L20" s="161"/>
      <c r="M20" s="161"/>
      <c r="N20" s="161"/>
      <c r="O20" s="537" t="str">
        <f>IFERROR(LEFT(AS21,4),"")</f>
        <v>0</v>
      </c>
      <c r="P20" s="537"/>
      <c r="Q20" s="537"/>
      <c r="R20" s="537"/>
      <c r="S20" s="161" t="s">
        <v>219</v>
      </c>
      <c r="T20" s="161"/>
      <c r="U20" s="194"/>
      <c r="V20" s="194"/>
      <c r="W20" s="194"/>
      <c r="X20" s="194"/>
      <c r="Y20" s="194"/>
      <c r="Z20" s="194"/>
      <c r="AA20" s="194"/>
      <c r="AB20" s="161"/>
      <c r="AC20" s="194"/>
      <c r="AD20" s="161"/>
      <c r="AE20" s="161"/>
      <c r="AF20" s="161"/>
      <c r="AG20" s="161"/>
      <c r="AH20" s="161"/>
      <c r="AI20" s="161"/>
      <c r="AJ20" s="161"/>
      <c r="AK20" s="161"/>
      <c r="AL20" s="190"/>
      <c r="AR20" s="201" t="s">
        <v>207</v>
      </c>
      <c r="AS20" s="201">
        <f>タスクる!$F$51</f>
        <v>0</v>
      </c>
      <c r="AT20" s="201"/>
    </row>
    <row r="21" spans="1:46" ht="13.5" customHeight="1" x14ac:dyDescent="0.15">
      <c r="A21" s="190"/>
      <c r="B21" s="541" t="str">
        <f t="shared" ref="B21" si="0">$O$20</f>
        <v>0</v>
      </c>
      <c r="C21" s="541"/>
      <c r="D21" s="541"/>
      <c r="E21" s="541"/>
      <c r="F21" s="172"/>
      <c r="G21" s="195" t="s">
        <v>118</v>
      </c>
      <c r="H21" s="541" t="str">
        <f>RIGHT(AS21,3)</f>
        <v>0</v>
      </c>
      <c r="I21" s="541"/>
      <c r="J21" s="541"/>
      <c r="K21" s="161" t="s">
        <v>99</v>
      </c>
      <c r="L21" s="548" t="str">
        <f>タスクる!$O$53</f>
        <v/>
      </c>
      <c r="M21" s="548"/>
      <c r="N21" s="159" t="str">
        <f>IF(V21="択なし","ブロック行います。","ブロック")</f>
        <v>ブロック</v>
      </c>
      <c r="O21" s="161"/>
      <c r="P21" s="193"/>
      <c r="U21" s="211" t="s">
        <v>244</v>
      </c>
      <c r="V21" s="537" t="str">
        <f>RIGHT(AS22,3)</f>
        <v>0</v>
      </c>
      <c r="W21" s="537"/>
      <c r="X21" s="196" t="s">
        <v>119</v>
      </c>
      <c r="Y21" s="548" t="str">
        <f>タスクる!$O$54</f>
        <v/>
      </c>
      <c r="Z21" s="548"/>
      <c r="AA21" s="160" t="s">
        <v>245</v>
      </c>
      <c r="AB21" s="161"/>
      <c r="AC21" s="161"/>
      <c r="AD21" s="161" t="str">
        <f>IF(V21="択なし","","行ってください。")</f>
        <v>行ってください。</v>
      </c>
      <c r="AE21" s="161"/>
      <c r="AF21" s="161"/>
      <c r="AG21" s="161"/>
      <c r="AH21" s="161"/>
      <c r="AI21" s="161"/>
      <c r="AJ21" s="161"/>
      <c r="AK21" s="161"/>
      <c r="AL21" s="190"/>
      <c r="AR21" s="201" t="s">
        <v>208</v>
      </c>
      <c r="AS21" s="201">
        <f>タスクる!$F$53</f>
        <v>0</v>
      </c>
      <c r="AT21" s="201"/>
    </row>
    <row r="22" spans="1:46" x14ac:dyDescent="0.15">
      <c r="A22" s="190"/>
      <c r="B22" s="161" t="s">
        <v>330</v>
      </c>
      <c r="C22" s="161"/>
      <c r="D22" s="161"/>
      <c r="E22" s="161"/>
      <c r="F22" s="161"/>
      <c r="G22" s="161"/>
      <c r="H22" s="161"/>
      <c r="I22" s="161"/>
      <c r="J22" s="161"/>
      <c r="K22" s="161"/>
      <c r="L22" s="197"/>
      <c r="M22" s="161"/>
      <c r="N22" s="161"/>
      <c r="O22" s="161"/>
      <c r="P22" s="197"/>
      <c r="Q22" s="161"/>
      <c r="R22" s="197"/>
      <c r="S22" s="197"/>
      <c r="T22" s="161"/>
      <c r="U22" s="161"/>
      <c r="V22" s="197"/>
      <c r="W22" s="197"/>
      <c r="X22" s="197"/>
      <c r="Y22" s="197"/>
      <c r="Z22" s="197"/>
      <c r="AA22" s="197"/>
      <c r="AB22" s="197"/>
      <c r="AC22" s="197"/>
      <c r="AD22" s="197"/>
      <c r="AE22" s="161"/>
      <c r="AF22" s="161"/>
      <c r="AG22" s="161"/>
      <c r="AH22" s="161"/>
      <c r="AI22" s="161"/>
      <c r="AJ22" s="161"/>
      <c r="AK22" s="161"/>
      <c r="AL22" s="190"/>
      <c r="AR22" s="201"/>
      <c r="AS22" s="201">
        <f>タスクる!$F$54</f>
        <v>0</v>
      </c>
      <c r="AT22" s="201"/>
    </row>
    <row r="23" spans="1:46" ht="13.5" customHeight="1" x14ac:dyDescent="0.15">
      <c r="A23" s="19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90"/>
      <c r="AR23" s="201" t="s">
        <v>209</v>
      </c>
      <c r="AS23" s="201">
        <f>タスクる!$F$56</f>
        <v>0</v>
      </c>
      <c r="AT23" s="201"/>
    </row>
    <row r="24" spans="1:46" x14ac:dyDescent="0.15">
      <c r="A24" s="190"/>
      <c r="B24" s="191" t="s">
        <v>316</v>
      </c>
      <c r="C24" s="190"/>
      <c r="D24" s="190"/>
      <c r="E24" s="190"/>
      <c r="F24" s="190"/>
      <c r="G24" s="239" t="s">
        <v>317</v>
      </c>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190"/>
      <c r="AR24" s="201"/>
      <c r="AS24" s="201">
        <f>タスクる!$F$57</f>
        <v>0</v>
      </c>
      <c r="AT24" s="201"/>
    </row>
    <row r="25" spans="1:46" ht="13.15" customHeight="1" x14ac:dyDescent="0.15">
      <c r="A25" s="190"/>
      <c r="B25" s="237"/>
      <c r="C25" s="237"/>
      <c r="D25" s="237"/>
      <c r="E25" s="237"/>
      <c r="F25" s="237"/>
      <c r="G25" s="550" t="s">
        <v>314</v>
      </c>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190"/>
      <c r="AR25" s="201" t="s">
        <v>210</v>
      </c>
      <c r="AS25" s="201">
        <f>タスクる!$F$60</f>
        <v>0</v>
      </c>
      <c r="AT25" s="201"/>
    </row>
    <row r="26" spans="1:46" x14ac:dyDescent="0.15">
      <c r="A26" s="190"/>
      <c r="B26" s="237"/>
      <c r="C26" s="237"/>
      <c r="D26" s="237"/>
      <c r="E26" s="237"/>
      <c r="F26" s="237"/>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190"/>
      <c r="AR26" s="201"/>
      <c r="AS26" s="201">
        <f>タスクる!$F$61</f>
        <v>0</v>
      </c>
      <c r="AT26" s="201"/>
    </row>
    <row r="27" spans="1:46" ht="13.5" customHeight="1" x14ac:dyDescent="0.15">
      <c r="A27" s="190"/>
      <c r="B27" s="221" t="s">
        <v>131</v>
      </c>
      <c r="C27" s="221"/>
      <c r="D27" s="221"/>
      <c r="E27" s="221"/>
      <c r="F27" s="547" t="str">
        <f>タスクる!$C$32</f>
        <v>11月12日</v>
      </c>
      <c r="G27" s="547"/>
      <c r="H27" s="547"/>
      <c r="I27" s="547"/>
      <c r="J27" s="547"/>
      <c r="K27" s="544" t="str">
        <f>タスクる!$C$30</f>
        <v>木曜日</v>
      </c>
      <c r="L27" s="544"/>
      <c r="M27" s="544"/>
      <c r="N27" s="221" t="s">
        <v>91</v>
      </c>
      <c r="O27" s="221"/>
      <c r="P27" s="221"/>
      <c r="Q27" s="221"/>
      <c r="R27" s="225"/>
      <c r="S27" s="549" t="str">
        <f>LEFT(AS23,6)</f>
        <v>0</v>
      </c>
      <c r="T27" s="549"/>
      <c r="U27" s="549"/>
      <c r="V27" s="549"/>
      <c r="W27" s="549"/>
      <c r="X27" s="549"/>
      <c r="Y27" s="221" t="s">
        <v>92</v>
      </c>
      <c r="Z27" s="221"/>
      <c r="AA27" s="226"/>
      <c r="AB27" s="221"/>
      <c r="AC27" s="221"/>
      <c r="AD27" s="221"/>
      <c r="AE27" s="221"/>
      <c r="AF27" s="221"/>
      <c r="AG27" s="221"/>
      <c r="AH27" s="221"/>
      <c r="AI27" s="221"/>
      <c r="AJ27" s="221"/>
      <c r="AK27" s="225"/>
      <c r="AL27" s="190"/>
      <c r="AR27" s="201"/>
      <c r="AS27" s="201"/>
      <c r="AT27" s="201"/>
    </row>
    <row r="28" spans="1:46" ht="13.5" customHeight="1" x14ac:dyDescent="0.15">
      <c r="A28" s="190"/>
      <c r="B28" s="536" t="str">
        <f>$S$27</f>
        <v>0</v>
      </c>
      <c r="C28" s="536"/>
      <c r="D28" s="536"/>
      <c r="E28" s="536"/>
      <c r="F28" s="536"/>
      <c r="G28" s="536"/>
      <c r="H28" s="221" t="s">
        <v>90</v>
      </c>
      <c r="I28" s="544" t="str">
        <f>RIGHT(AS23,3)</f>
        <v>0</v>
      </c>
      <c r="J28" s="544"/>
      <c r="K28" s="221" t="s">
        <v>99</v>
      </c>
      <c r="L28" s="543" t="str">
        <f>タスクる!$O$56</f>
        <v/>
      </c>
      <c r="M28" s="543"/>
      <c r="N28" s="227" t="str">
        <f>IF(U28="択なし","ブロック行います。","ブロック")</f>
        <v>ブロック</v>
      </c>
      <c r="O28" s="221"/>
      <c r="P28" s="221"/>
      <c r="Q28" s="225"/>
      <c r="R28" s="225"/>
      <c r="S28" s="225"/>
      <c r="T28" s="221" t="s">
        <v>272</v>
      </c>
      <c r="U28" s="544" t="str">
        <f>RIGHT(AS24,3)</f>
        <v>0</v>
      </c>
      <c r="V28" s="544"/>
      <c r="W28" s="228" t="s">
        <v>100</v>
      </c>
      <c r="X28" s="543" t="str">
        <f>タスクる!$O$57</f>
        <v/>
      </c>
      <c r="Y28" s="543"/>
      <c r="Z28" s="229" t="s">
        <v>273</v>
      </c>
      <c r="AA28" s="221"/>
      <c r="AB28" s="221"/>
      <c r="AC28" s="221" t="str">
        <f>IF(U28="択なし","","行ってください。")</f>
        <v>行ってください。</v>
      </c>
      <c r="AD28" s="221"/>
      <c r="AE28" s="221"/>
      <c r="AF28" s="221"/>
      <c r="AG28" s="221"/>
      <c r="AH28" s="221"/>
      <c r="AI28" s="221"/>
      <c r="AJ28" s="221"/>
      <c r="AK28" s="225"/>
      <c r="AL28" s="190"/>
      <c r="AR28" s="212" t="str">
        <f>タスクる!$C$32</f>
        <v>11月12日</v>
      </c>
      <c r="AS28" s="201"/>
      <c r="AT28" s="201"/>
    </row>
    <row r="29" spans="1:46" ht="13.5" customHeight="1" x14ac:dyDescent="0.15">
      <c r="A29" s="190"/>
      <c r="B29" s="551" t="str">
        <f>$S$27</f>
        <v>0</v>
      </c>
      <c r="C29" s="551"/>
      <c r="D29" s="551"/>
      <c r="E29" s="551"/>
      <c r="F29" s="551"/>
      <c r="G29" s="551"/>
      <c r="H29" s="221" t="s">
        <v>114</v>
      </c>
      <c r="I29" s="221"/>
      <c r="J29" s="164"/>
      <c r="K29" s="549" t="str">
        <f>IF(U28="択なし","前半３ブロック",I28)</f>
        <v>0</v>
      </c>
      <c r="L29" s="549"/>
      <c r="M29" s="549"/>
      <c r="N29" s="549"/>
      <c r="O29" s="549"/>
      <c r="P29" s="549"/>
      <c r="Q29" s="549"/>
      <c r="R29" s="225"/>
      <c r="S29" s="164" t="s">
        <v>90</v>
      </c>
      <c r="T29" s="553" t="str">
        <f>IFERROR(VLOOKUP(B28,ルールの切替,2,FALSE),"")</f>
        <v/>
      </c>
      <c r="U29" s="553"/>
      <c r="V29" s="553"/>
      <c r="W29" s="553"/>
      <c r="X29" s="553"/>
      <c r="Y29" s="553"/>
      <c r="Z29" s="553"/>
      <c r="AA29" s="553"/>
      <c r="AB29" s="553"/>
      <c r="AC29" s="553"/>
      <c r="AD29" s="553"/>
      <c r="AE29" s="553"/>
      <c r="AF29" s="553"/>
      <c r="AG29" s="553"/>
      <c r="AH29" s="553"/>
      <c r="AI29" s="553"/>
      <c r="AJ29" s="553"/>
      <c r="AK29" s="164"/>
      <c r="AL29" s="190"/>
      <c r="AR29" s="202" t="s">
        <v>211</v>
      </c>
      <c r="AS29" s="202" t="s">
        <v>112</v>
      </c>
      <c r="AT29" s="202" t="s">
        <v>113</v>
      </c>
    </row>
    <row r="30" spans="1:46" ht="13.5" customHeight="1" x14ac:dyDescent="0.15">
      <c r="A30" s="190"/>
      <c r="B30" s="553" t="str">
        <f>IF(U28="択なし","以後は",U28)</f>
        <v>0</v>
      </c>
      <c r="C30" s="553"/>
      <c r="D30" s="553"/>
      <c r="E30" s="553"/>
      <c r="F30" s="164" t="s">
        <v>120</v>
      </c>
      <c r="G30" s="549" t="str">
        <f>IFERROR(VLOOKUP(B28,ルールの切替,3,FALSE),"")</f>
        <v/>
      </c>
      <c r="H30" s="549"/>
      <c r="I30" s="549"/>
      <c r="J30" s="549"/>
      <c r="K30" s="549"/>
      <c r="L30" s="549"/>
      <c r="M30" s="549"/>
      <c r="N30" s="549"/>
      <c r="O30" s="549"/>
      <c r="P30" s="549"/>
      <c r="Q30" s="549"/>
      <c r="R30" s="549"/>
      <c r="S30" s="549"/>
      <c r="T30" s="549"/>
      <c r="U30" s="549"/>
      <c r="V30" s="549"/>
      <c r="W30" s="549"/>
      <c r="X30" s="230" t="s">
        <v>111</v>
      </c>
      <c r="Y30" s="225"/>
      <c r="Z30" s="225"/>
      <c r="AA30" s="225"/>
      <c r="AB30" s="225"/>
      <c r="AC30" s="225"/>
      <c r="AD30" s="164"/>
      <c r="AE30" s="164"/>
      <c r="AF30" s="164"/>
      <c r="AG30" s="164"/>
      <c r="AH30" s="164"/>
      <c r="AI30" s="164"/>
      <c r="AJ30" s="164"/>
      <c r="AK30" s="221"/>
      <c r="AL30" s="190"/>
      <c r="AR30" s="202" t="s">
        <v>133</v>
      </c>
      <c r="AS30" s="202" t="s">
        <v>247</v>
      </c>
      <c r="AT30" s="202" t="s">
        <v>248</v>
      </c>
    </row>
    <row r="31" spans="1:46" ht="13.5" customHeight="1" x14ac:dyDescent="0.15">
      <c r="A31" s="190"/>
      <c r="B31" s="22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221"/>
      <c r="AL31" s="190"/>
      <c r="AR31" s="201"/>
      <c r="AS31" s="201"/>
      <c r="AT31" s="201"/>
    </row>
    <row r="32" spans="1:46" x14ac:dyDescent="0.15">
      <c r="A32" s="190"/>
      <c r="B32" s="191" t="s">
        <v>318</v>
      </c>
      <c r="C32" s="190"/>
      <c r="D32" s="190"/>
      <c r="E32" s="190"/>
      <c r="F32" s="190"/>
      <c r="G32" s="242" t="s">
        <v>319</v>
      </c>
      <c r="H32" s="238"/>
      <c r="I32" s="241"/>
      <c r="J32" s="238"/>
      <c r="K32" s="238"/>
      <c r="L32" s="238"/>
      <c r="M32" s="238"/>
      <c r="N32" s="238"/>
      <c r="O32" s="238"/>
      <c r="P32" s="238"/>
      <c r="Q32" s="238"/>
      <c r="R32" s="238"/>
      <c r="S32" s="238"/>
      <c r="T32" s="238"/>
      <c r="U32" s="238"/>
      <c r="V32" s="241"/>
      <c r="W32" s="241"/>
      <c r="X32" s="241"/>
      <c r="Y32" s="241"/>
      <c r="Z32" s="241"/>
      <c r="AA32" s="241"/>
      <c r="AB32" s="241"/>
      <c r="AC32" s="241"/>
      <c r="AD32" s="241"/>
      <c r="AE32" s="241"/>
      <c r="AF32" s="241"/>
      <c r="AG32" s="241"/>
      <c r="AH32" s="241"/>
      <c r="AI32" s="241"/>
      <c r="AJ32" s="241"/>
      <c r="AK32" s="238"/>
      <c r="AL32" s="190"/>
    </row>
    <row r="33" spans="1:76" x14ac:dyDescent="0.15">
      <c r="A33" s="190"/>
      <c r="B33" s="221" t="s">
        <v>337</v>
      </c>
      <c r="C33" s="218"/>
      <c r="D33" s="218"/>
      <c r="E33" s="218"/>
      <c r="F33" s="218"/>
      <c r="G33" s="218"/>
      <c r="H33" s="218"/>
      <c r="I33" s="218"/>
      <c r="J33" s="218"/>
      <c r="K33" s="218"/>
      <c r="L33" s="218"/>
      <c r="M33" s="218"/>
      <c r="N33" s="218"/>
      <c r="O33" s="218"/>
      <c r="P33" s="225"/>
      <c r="Q33" s="557" t="str">
        <f>AR28</f>
        <v>11月12日</v>
      </c>
      <c r="R33" s="557"/>
      <c r="S33" s="557"/>
      <c r="T33" s="557"/>
      <c r="U33" s="557"/>
      <c r="V33" s="557" t="str">
        <f>タスクる!$C$35</f>
        <v>金曜日</v>
      </c>
      <c r="W33" s="557"/>
      <c r="X33" s="557"/>
      <c r="Y33" s="221" t="s">
        <v>93</v>
      </c>
      <c r="Z33" s="221"/>
      <c r="AA33" s="221"/>
      <c r="AB33" s="221"/>
      <c r="AC33" s="231"/>
      <c r="AD33" s="218"/>
      <c r="AE33" s="218"/>
      <c r="AF33" s="218"/>
      <c r="AG33" s="218"/>
      <c r="AH33" s="218"/>
      <c r="AI33" s="225"/>
      <c r="AJ33" s="225"/>
      <c r="AK33" s="225"/>
      <c r="AL33" s="190"/>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row>
    <row r="34" spans="1:76" x14ac:dyDescent="0.15">
      <c r="A34" s="190"/>
      <c r="B34" s="556" t="s">
        <v>281</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190"/>
    </row>
    <row r="35" spans="1:76" ht="13.5" customHeight="1" x14ac:dyDescent="0.15">
      <c r="A35" s="190"/>
      <c r="B35" s="163" t="s">
        <v>159</v>
      </c>
      <c r="C35" s="164"/>
      <c r="D35" s="164"/>
      <c r="E35" s="552">
        <f>AR28+7</f>
        <v>44884</v>
      </c>
      <c r="F35" s="552"/>
      <c r="G35" s="552"/>
      <c r="H35" s="552"/>
      <c r="I35" s="552"/>
      <c r="J35" s="163" t="s">
        <v>326</v>
      </c>
      <c r="K35" s="221"/>
      <c r="L35" s="221"/>
      <c r="M35" s="221"/>
      <c r="N35" s="221"/>
      <c r="O35" s="221"/>
      <c r="P35" s="163"/>
      <c r="Q35" s="163"/>
      <c r="R35" s="163"/>
      <c r="S35" s="163"/>
      <c r="T35" s="163"/>
      <c r="U35" s="163"/>
      <c r="V35" s="163"/>
      <c r="W35" s="163"/>
      <c r="Y35" s="163"/>
      <c r="Z35" s="163"/>
      <c r="AA35" s="163"/>
      <c r="AB35" s="163"/>
      <c r="AC35" s="163"/>
      <c r="AD35" s="163"/>
      <c r="AE35" s="163"/>
      <c r="AF35" s="163"/>
      <c r="AG35" s="163"/>
      <c r="AH35" s="163"/>
      <c r="AI35" s="163"/>
      <c r="AJ35" s="163"/>
      <c r="AK35" s="163"/>
      <c r="AL35" s="19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row>
    <row r="36" spans="1:76" ht="13.5" customHeight="1" x14ac:dyDescent="0.15">
      <c r="A36" s="190"/>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9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row>
    <row r="37" spans="1:76" x14ac:dyDescent="0.15">
      <c r="A37" s="190"/>
      <c r="B37" s="191" t="s">
        <v>94</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row>
    <row r="38" spans="1:76" x14ac:dyDescent="0.15">
      <c r="A38" s="190"/>
      <c r="B38" s="161" t="s">
        <v>162</v>
      </c>
      <c r="C38" s="161"/>
      <c r="D38" s="161"/>
      <c r="E38" s="161"/>
      <c r="F38" s="161"/>
      <c r="G38" s="161"/>
      <c r="H38" s="161"/>
      <c r="I38" s="541" t="str">
        <f>IFERROR(タスクる!$Q$76,"")</f>
        <v/>
      </c>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161"/>
      <c r="AI38" s="161"/>
      <c r="AJ38" s="161"/>
      <c r="AK38" s="161"/>
      <c r="AL38" s="190"/>
    </row>
    <row r="39" spans="1:76" x14ac:dyDescent="0.15">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V39" s="161"/>
    </row>
    <row r="40" spans="1:76" x14ac:dyDescent="0.15">
      <c r="A40" s="190"/>
      <c r="B40" s="161" t="s">
        <v>82</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90"/>
    </row>
    <row r="41" spans="1:76" x14ac:dyDescent="0.15">
      <c r="A41" s="190"/>
      <c r="B41" s="173" t="s">
        <v>123</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61"/>
      <c r="AL41" s="190"/>
    </row>
    <row r="42" spans="1:76" ht="13.5" customHeight="1" x14ac:dyDescent="0.15">
      <c r="A42" s="190"/>
      <c r="B42" s="173" t="s">
        <v>124</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61"/>
      <c r="AL42" s="190"/>
    </row>
    <row r="43" spans="1:76" x14ac:dyDescent="0.15">
      <c r="A43" s="190"/>
      <c r="B43" s="173" t="s">
        <v>331</v>
      </c>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61"/>
      <c r="AL43" s="190"/>
    </row>
    <row r="44" spans="1:76" ht="13.5" customHeight="1" x14ac:dyDescent="0.15">
      <c r="A44" s="190"/>
      <c r="B44" s="535" t="s">
        <v>125</v>
      </c>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190"/>
    </row>
    <row r="45" spans="1:76" x14ac:dyDescent="0.15">
      <c r="A45" s="190"/>
      <c r="B45" s="535" t="s">
        <v>332</v>
      </c>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190"/>
    </row>
    <row r="46" spans="1:76" ht="13.5" customHeight="1" x14ac:dyDescent="0.15">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row>
    <row r="47" spans="1:76" x14ac:dyDescent="0.15">
      <c r="A47" s="190"/>
      <c r="B47" s="161" t="s">
        <v>83</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1"/>
      <c r="AL47" s="190"/>
    </row>
    <row r="48" spans="1:76" ht="13.5" customHeight="1" x14ac:dyDescent="0.15">
      <c r="A48" s="190"/>
      <c r="B48" s="190"/>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90"/>
      <c r="AL48" s="190"/>
    </row>
    <row r="49" spans="1:38" ht="13.5" customHeight="1" x14ac:dyDescent="0.15">
      <c r="A49" s="287"/>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287"/>
    </row>
    <row r="50" spans="1:38" ht="14.25" x14ac:dyDescent="0.15">
      <c r="A50" s="167" t="s">
        <v>356</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98"/>
    </row>
    <row r="51" spans="1:38" x14ac:dyDescent="0.15">
      <c r="A51" s="198"/>
      <c r="B51" s="164"/>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198"/>
    </row>
    <row r="52" spans="1:38" x14ac:dyDescent="0.15">
      <c r="A52" s="198"/>
      <c r="B52" s="199" t="s">
        <v>97</v>
      </c>
      <c r="C52" s="198"/>
      <c r="D52" s="198"/>
      <c r="E52" s="198"/>
      <c r="F52" s="198"/>
      <c r="G52" s="244"/>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row>
    <row r="53" spans="1:38" x14ac:dyDescent="0.15">
      <c r="A53" s="198"/>
      <c r="B53" s="161" t="s">
        <v>282</v>
      </c>
      <c r="C53" s="161"/>
      <c r="D53" s="161"/>
      <c r="E53" s="161"/>
      <c r="F53" s="161"/>
      <c r="G53" s="161"/>
      <c r="H53" s="161"/>
      <c r="I53" s="161"/>
      <c r="J53" s="161"/>
      <c r="K53" s="161"/>
      <c r="L53" s="161"/>
      <c r="M53" s="161"/>
      <c r="N53" s="161"/>
      <c r="O53" s="161"/>
      <c r="P53" s="161"/>
      <c r="Q53" s="161"/>
      <c r="R53" s="161"/>
      <c r="S53" s="161"/>
      <c r="T53" s="161"/>
      <c r="U53" s="161"/>
      <c r="V53" s="161"/>
      <c r="W53" s="537" t="str">
        <f>LEFT(AS25,5)</f>
        <v>0</v>
      </c>
      <c r="X53" s="537"/>
      <c r="Y53" s="537"/>
      <c r="Z53" s="537"/>
      <c r="AA53" s="537"/>
      <c r="AB53" s="161" t="s">
        <v>98</v>
      </c>
      <c r="AC53" s="193"/>
      <c r="AD53" s="193"/>
      <c r="AE53" s="537" t="str">
        <f>$W$53</f>
        <v>0</v>
      </c>
      <c r="AF53" s="537"/>
      <c r="AG53" s="537"/>
      <c r="AH53" s="537"/>
      <c r="AI53" s="537"/>
      <c r="AJ53" s="161" t="s">
        <v>90</v>
      </c>
      <c r="AK53" s="161"/>
      <c r="AL53" s="198"/>
    </row>
    <row r="54" spans="1:38" x14ac:dyDescent="0.15">
      <c r="A54" s="198"/>
      <c r="B54" s="537" t="str">
        <f>RIGHT(AS25,3)</f>
        <v>0</v>
      </c>
      <c r="C54" s="537"/>
      <c r="D54" s="537"/>
      <c r="E54" s="161" t="s">
        <v>99</v>
      </c>
      <c r="F54" s="555" t="str">
        <f>タスクる!$O$60</f>
        <v/>
      </c>
      <c r="G54" s="555"/>
      <c r="H54" s="159" t="str">
        <f>IF(O54="択なし","ブロック行います。","ブロックと")</f>
        <v>ブロックと</v>
      </c>
      <c r="I54" s="161"/>
      <c r="J54" s="161"/>
      <c r="K54" s="211"/>
      <c r="L54" s="216"/>
      <c r="O54" s="537" t="str">
        <f>RIGHT(AS26,3)</f>
        <v>0</v>
      </c>
      <c r="P54" s="537"/>
      <c r="Q54" s="537"/>
      <c r="R54" s="197" t="s">
        <v>100</v>
      </c>
      <c r="S54" s="555" t="str">
        <f>タスクる!$O$61</f>
        <v/>
      </c>
      <c r="T54" s="555"/>
      <c r="U54" s="554" t="s">
        <v>245</v>
      </c>
      <c r="V54" s="554"/>
      <c r="W54" s="554"/>
      <c r="X54" s="161" t="str">
        <f>IF(O54="択なし","","行ってください。")</f>
        <v>行ってください。</v>
      </c>
      <c r="Y54" s="161"/>
      <c r="Z54" s="161"/>
      <c r="AA54" s="161"/>
      <c r="AB54" s="161"/>
      <c r="AC54" s="197"/>
      <c r="AD54" s="197"/>
      <c r="AE54" s="197"/>
      <c r="AF54" s="197"/>
      <c r="AG54" s="161"/>
      <c r="AH54" s="161"/>
      <c r="AI54" s="161"/>
      <c r="AJ54" s="161"/>
      <c r="AK54" s="161"/>
      <c r="AL54" s="198"/>
    </row>
    <row r="55" spans="1:38" x14ac:dyDescent="0.15">
      <c r="A55" s="198"/>
      <c r="B55" s="161" t="s">
        <v>129</v>
      </c>
      <c r="C55" s="161"/>
      <c r="D55" s="193"/>
      <c r="E55" s="193"/>
      <c r="F55" s="545" t="str">
        <f>タスクる!$C$22</f>
        <v>11月10日</v>
      </c>
      <c r="G55" s="545"/>
      <c r="H55" s="545"/>
      <c r="I55" s="545"/>
      <c r="J55" s="545"/>
      <c r="K55" s="537" t="str">
        <f>タスクる!$C$25</f>
        <v>水曜日</v>
      </c>
      <c r="L55" s="537"/>
      <c r="M55" s="537"/>
      <c r="N55" s="161" t="s">
        <v>121</v>
      </c>
      <c r="O55" s="200"/>
      <c r="P55" s="197"/>
      <c r="Q55" s="161"/>
      <c r="R55" s="161"/>
      <c r="S55" s="161"/>
      <c r="T55" s="161"/>
      <c r="U55" s="161"/>
      <c r="V55" s="161"/>
      <c r="W55" s="161"/>
      <c r="X55" s="197"/>
      <c r="Y55" s="197"/>
      <c r="Z55" s="197"/>
      <c r="AA55" s="197"/>
      <c r="AB55" s="197"/>
      <c r="AC55" s="197"/>
      <c r="AD55" s="197"/>
      <c r="AE55" s="161"/>
      <c r="AF55" s="161"/>
      <c r="AG55" s="161"/>
      <c r="AH55" s="161"/>
      <c r="AI55" s="161"/>
      <c r="AJ55" s="161"/>
      <c r="AK55" s="161"/>
      <c r="AL55" s="198"/>
    </row>
    <row r="56" spans="1:38" x14ac:dyDescent="0.15">
      <c r="A56" s="198"/>
      <c r="B56" s="161" t="s">
        <v>130</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98"/>
    </row>
    <row r="57" spans="1:38" x14ac:dyDescent="0.15">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row>
    <row r="58" spans="1:38" x14ac:dyDescent="0.15">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row>
    <row r="59" spans="1:38" x14ac:dyDescent="0.15">
      <c r="A59" s="161"/>
      <c r="AL59" s="161"/>
    </row>
  </sheetData>
  <sheetProtection sheet="1" objects="1" scenarios="1"/>
  <mergeCells count="46">
    <mergeCell ref="B34:AK34"/>
    <mergeCell ref="S54:T54"/>
    <mergeCell ref="G30:W30"/>
    <mergeCell ref="Q33:U33"/>
    <mergeCell ref="V33:X33"/>
    <mergeCell ref="F55:J55"/>
    <mergeCell ref="K55:M55"/>
    <mergeCell ref="B29:G29"/>
    <mergeCell ref="E35:I35"/>
    <mergeCell ref="B44:AK44"/>
    <mergeCell ref="B45:AK45"/>
    <mergeCell ref="W53:AA53"/>
    <mergeCell ref="AE53:AI53"/>
    <mergeCell ref="O54:Q54"/>
    <mergeCell ref="B30:E30"/>
    <mergeCell ref="I38:AG38"/>
    <mergeCell ref="U54:W54"/>
    <mergeCell ref="T29:AJ29"/>
    <mergeCell ref="K29:Q29"/>
    <mergeCell ref="B54:D54"/>
    <mergeCell ref="F54:G54"/>
    <mergeCell ref="H21:J21"/>
    <mergeCell ref="L21:M21"/>
    <mergeCell ref="I28:J28"/>
    <mergeCell ref="K27:M27"/>
    <mergeCell ref="S27:X27"/>
    <mergeCell ref="X28:Y28"/>
    <mergeCell ref="V21:W21"/>
    <mergeCell ref="Y21:Z21"/>
    <mergeCell ref="G25:AK26"/>
    <mergeCell ref="A1:AK2"/>
    <mergeCell ref="B13:AJ13"/>
    <mergeCell ref="B28:G28"/>
    <mergeCell ref="I16:K16"/>
    <mergeCell ref="A4:AK4"/>
    <mergeCell ref="B7:AK11"/>
    <mergeCell ref="E15:G15"/>
    <mergeCell ref="I15:N15"/>
    <mergeCell ref="AC15:AG15"/>
    <mergeCell ref="L28:M28"/>
    <mergeCell ref="U28:V28"/>
    <mergeCell ref="G20:I20"/>
    <mergeCell ref="B20:F20"/>
    <mergeCell ref="B21:E21"/>
    <mergeCell ref="O20:R20"/>
    <mergeCell ref="F27:J27"/>
  </mergeCells>
  <phoneticPr fontId="2"/>
  <conditionalFormatting sqref="V21">
    <cfRule type="containsText" dxfId="25" priority="20" operator="containsText" text="択なし">
      <formula>NOT(ISERROR(SEARCH("択なし",V21)))</formula>
    </cfRule>
  </conditionalFormatting>
  <conditionalFormatting sqref="U21">
    <cfRule type="expression" dxfId="24" priority="17">
      <formula>V21="択なし"</formula>
    </cfRule>
  </conditionalFormatting>
  <conditionalFormatting sqref="X21">
    <cfRule type="expression" dxfId="23" priority="16">
      <formula>V21="択なし"</formula>
    </cfRule>
  </conditionalFormatting>
  <conditionalFormatting sqref="AA21">
    <cfRule type="expression" dxfId="22" priority="15">
      <formula>V21="択なし"</formula>
    </cfRule>
  </conditionalFormatting>
  <conditionalFormatting sqref="O54">
    <cfRule type="containsText" dxfId="21" priority="14" operator="containsText" text="択なし">
      <formula>NOT(ISERROR(SEARCH("択なし",O54)))</formula>
    </cfRule>
  </conditionalFormatting>
  <conditionalFormatting sqref="R54">
    <cfRule type="expression" dxfId="20" priority="13">
      <formula>O54="択なし"</formula>
    </cfRule>
  </conditionalFormatting>
  <conditionalFormatting sqref="U54">
    <cfRule type="expression" dxfId="19" priority="9">
      <formula>O54="択なし"</formula>
    </cfRule>
  </conditionalFormatting>
  <conditionalFormatting sqref="E15:G15">
    <cfRule type="cellIs" dxfId="18" priority="8" operator="equal">
      <formula>0</formula>
    </cfRule>
  </conditionalFormatting>
  <conditionalFormatting sqref="I15:N15">
    <cfRule type="cellIs" dxfId="17" priority="7" operator="equal">
      <formula>0</formula>
    </cfRule>
  </conditionalFormatting>
  <conditionalFormatting sqref="H21:J21">
    <cfRule type="cellIs" dxfId="16" priority="6" operator="equal">
      <formula>0</formula>
    </cfRule>
  </conditionalFormatting>
  <conditionalFormatting sqref="B28:G28">
    <cfRule type="cellIs" dxfId="15" priority="5" operator="equal">
      <formula>0</formula>
    </cfRule>
  </conditionalFormatting>
  <conditionalFormatting sqref="U28">
    <cfRule type="containsText" dxfId="14" priority="4" operator="containsText" text="択なし">
      <formula>NOT(ISERROR(SEARCH("択なし",U28)))</formula>
    </cfRule>
  </conditionalFormatting>
  <conditionalFormatting sqref="T28">
    <cfRule type="expression" dxfId="13" priority="3">
      <formula>$U$28="択なし"</formula>
    </cfRule>
  </conditionalFormatting>
  <conditionalFormatting sqref="W28">
    <cfRule type="expression" dxfId="12" priority="2">
      <formula>$U$28="択なし"</formula>
    </cfRule>
  </conditionalFormatting>
  <conditionalFormatting sqref="Z28">
    <cfRule type="expression" dxfId="11" priority="1">
      <formula>$U$28="択なし"</formula>
    </cfRule>
  </conditionalFormatting>
  <conditionalFormatting sqref="K54">
    <cfRule type="expression" dxfId="10" priority="22">
      <formula>O54="択なし"</formula>
    </cfRule>
  </conditionalFormatting>
  <printOptions horizontalCentered="1" verticalCentered="1"/>
  <pageMargins left="0.31496062992125984" right="0.31496062992125984" top="0.35433070866141736" bottom="0.35433070866141736"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workbookViewId="0">
      <selection activeCell="Y20" sqref="Y20"/>
    </sheetView>
  </sheetViews>
  <sheetFormatPr defaultColWidth="2.625" defaultRowHeight="15" x14ac:dyDescent="0.15"/>
  <cols>
    <col min="1" max="36" width="2.625" style="249"/>
    <col min="37" max="40" width="0" style="249" hidden="1" customWidth="1"/>
    <col min="41" max="16384" width="2.625" style="249"/>
  </cols>
  <sheetData>
    <row r="1" spans="1:37" ht="15.75" x14ac:dyDescent="0.15">
      <c r="A1" s="254"/>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7" ht="15.75" x14ac:dyDescent="0.15">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61" t="s">
        <v>286</v>
      </c>
      <c r="AH2" s="256"/>
    </row>
    <row r="3" spans="1:37" ht="15.75" x14ac:dyDescent="0.15">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61" t="s">
        <v>287</v>
      </c>
      <c r="AH3" s="256"/>
    </row>
    <row r="4" spans="1:37" ht="15.75" x14ac:dyDescent="0.15">
      <c r="A4" s="254"/>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row>
    <row r="5" spans="1:37" ht="15.75" x14ac:dyDescent="0.15">
      <c r="A5" s="254"/>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row>
    <row r="6" spans="1:37" ht="15.75" x14ac:dyDescent="0.15">
      <c r="A6" s="254" t="s">
        <v>288</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row>
    <row r="7" spans="1:37" ht="15.75" x14ac:dyDescent="0.15">
      <c r="A7" s="254"/>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row>
    <row r="8" spans="1:37" ht="15.75" x14ac:dyDescent="0.15">
      <c r="A8" s="254" t="s">
        <v>360</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row>
    <row r="9" spans="1:37" ht="15.75" x14ac:dyDescent="0.15">
      <c r="A9" s="254" t="s">
        <v>289</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row>
    <row r="10" spans="1:37" ht="15.75" x14ac:dyDescent="0.15">
      <c r="A10" s="254" t="s">
        <v>290</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row>
    <row r="11" spans="1:37" ht="15.75" x14ac:dyDescent="0.15">
      <c r="A11" s="254" t="s">
        <v>291</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row>
    <row r="12" spans="1:37" ht="15.75" x14ac:dyDescent="0.15">
      <c r="A12" s="254" t="s">
        <v>360</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row>
    <row r="13" spans="1:37" ht="15.75" x14ac:dyDescent="0.15">
      <c r="A13" s="254"/>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row>
    <row r="14" spans="1:37" ht="15.75" x14ac:dyDescent="0.15">
      <c r="A14" s="254" t="s">
        <v>303</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row>
    <row r="15" spans="1:37" ht="15.75" x14ac:dyDescent="0.15">
      <c r="A15" s="256"/>
      <c r="B15" s="559">
        <f>AK15+7</f>
        <v>44884</v>
      </c>
      <c r="C15" s="559"/>
      <c r="D15" s="559"/>
      <c r="E15" s="559"/>
      <c r="F15" s="559"/>
      <c r="G15" s="560" t="str">
        <f>タスクる!$C$35</f>
        <v>金曜日</v>
      </c>
      <c r="H15" s="560"/>
      <c r="I15" s="560"/>
      <c r="J15" s="560"/>
      <c r="L15" s="263"/>
      <c r="M15" s="558">
        <f>タスクる!$V$58</f>
        <v>0.625</v>
      </c>
      <c r="N15" s="558"/>
      <c r="O15" s="558"/>
      <c r="P15" s="558"/>
      <c r="Q15" s="558"/>
      <c r="R15" s="256"/>
      <c r="S15" s="256"/>
      <c r="T15" s="256"/>
      <c r="U15" s="256"/>
      <c r="V15" s="256"/>
      <c r="W15" s="256"/>
      <c r="X15" s="256"/>
      <c r="Y15" s="256"/>
      <c r="Z15" s="256"/>
      <c r="AA15" s="256"/>
      <c r="AB15" s="256"/>
      <c r="AC15" s="256"/>
      <c r="AD15" s="256"/>
      <c r="AE15" s="256"/>
      <c r="AF15" s="256"/>
      <c r="AG15" s="256"/>
      <c r="AH15" s="256"/>
      <c r="AK15" s="260" t="str">
        <f>タスクる!$S$58</f>
        <v>11月12日</v>
      </c>
    </row>
    <row r="16" spans="1:37" ht="15.75" x14ac:dyDescent="0.1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row>
    <row r="17" spans="1:34" ht="15.75" x14ac:dyDescent="0.15">
      <c r="A17" s="254" t="s">
        <v>301</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row>
    <row r="18" spans="1:34" ht="15.75" x14ac:dyDescent="0.15">
      <c r="A18" s="256"/>
      <c r="B18" s="256" t="s">
        <v>302</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row>
    <row r="19" spans="1:34" ht="15.75" x14ac:dyDescent="0.15">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row>
    <row r="20" spans="1:34" ht="15.75" x14ac:dyDescent="0.15">
      <c r="A20" s="254" t="s">
        <v>292</v>
      </c>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row>
    <row r="21" spans="1:34" ht="15.75" x14ac:dyDescent="0.15">
      <c r="A21" s="256"/>
      <c r="B21" s="254" t="s">
        <v>305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row>
    <row r="22" spans="1:34" ht="15.75" x14ac:dyDescent="0.15">
      <c r="A22" s="256"/>
      <c r="B22" s="256"/>
      <c r="C22" s="256"/>
      <c r="D22" s="256" t="s">
        <v>304</v>
      </c>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row>
    <row r="23" spans="1:34" ht="15.75" x14ac:dyDescent="0.15">
      <c r="A23" s="256"/>
      <c r="B23" s="254" t="s">
        <v>306</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row>
    <row r="24" spans="1:34" ht="15.75" x14ac:dyDescent="0.15">
      <c r="A24" s="256"/>
      <c r="B24" s="256"/>
      <c r="C24" s="256"/>
      <c r="D24" s="256" t="s">
        <v>307</v>
      </c>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row>
    <row r="25" spans="1:34" ht="15.75" x14ac:dyDescent="0.15">
      <c r="A25" s="256"/>
      <c r="B25" s="254" t="s">
        <v>308</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row>
    <row r="26" spans="1:34" ht="15.75" x14ac:dyDescent="0.15">
      <c r="A26" s="256"/>
      <c r="B26" s="256"/>
      <c r="C26" s="256"/>
      <c r="D26" s="256" t="s">
        <v>309</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row>
    <row r="27" spans="1:34" ht="15.75" x14ac:dyDescent="0.15">
      <c r="A27" s="256"/>
      <c r="B27" s="254" t="s">
        <v>310</v>
      </c>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row>
    <row r="28" spans="1:34" ht="15.75" x14ac:dyDescent="0.15">
      <c r="A28" s="256"/>
      <c r="B28" s="256"/>
      <c r="C28" s="256"/>
      <c r="D28" s="256" t="s">
        <v>311</v>
      </c>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row>
    <row r="29" spans="1:34" ht="15.75" x14ac:dyDescent="0.15">
      <c r="A29" s="256"/>
      <c r="B29" s="254" t="s">
        <v>312</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row>
    <row r="30" spans="1:34" ht="15.75" x14ac:dyDescent="0.15">
      <c r="A30" s="256"/>
      <c r="B30" s="256"/>
      <c r="C30" s="256"/>
      <c r="D30" s="256" t="s">
        <v>313</v>
      </c>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row>
    <row r="31" spans="1:34" ht="15.75" x14ac:dyDescent="0.15">
      <c r="A31" s="256"/>
      <c r="B31" s="254" t="s">
        <v>293</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row>
    <row r="32" spans="1:34" ht="15.75" x14ac:dyDescent="0.15">
      <c r="A32" s="256"/>
      <c r="B32" s="256"/>
      <c r="C32" s="262" t="s">
        <v>300</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row>
    <row r="33" spans="1:34" ht="15.75" x14ac:dyDescent="0.15">
      <c r="A33" s="256"/>
      <c r="B33" s="256"/>
      <c r="C33" s="262" t="s">
        <v>294</v>
      </c>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row>
    <row r="34" spans="1:34" ht="15.75" x14ac:dyDescent="0.15">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row>
  </sheetData>
  <sheetProtection sheet="1" objects="1" scenarios="1"/>
  <mergeCells count="3">
    <mergeCell ref="M15:Q15"/>
    <mergeCell ref="B15:F15"/>
    <mergeCell ref="G15:J15"/>
  </mergeCells>
  <phoneticPr fontId="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1"/>
  <sheetViews>
    <sheetView zoomScale="115" zoomScaleNormal="115" workbookViewId="0">
      <selection activeCell="AM36" sqref="AM36"/>
    </sheetView>
  </sheetViews>
  <sheetFormatPr defaultColWidth="2.625" defaultRowHeight="13.5" x14ac:dyDescent="0.15"/>
  <cols>
    <col min="1" max="19" width="2.625" style="76"/>
    <col min="20" max="20" width="3.25" style="76" bestFit="1" customWidth="1"/>
    <col min="21" max="25" width="2.625" style="76"/>
    <col min="26" max="26" width="2.75" style="76" customWidth="1"/>
    <col min="27" max="43" width="2.625" style="76"/>
    <col min="44" max="44" width="6.5" style="76" hidden="1" customWidth="1"/>
    <col min="45" max="45" width="7.75" style="76" hidden="1" customWidth="1"/>
    <col min="46" max="46" width="5.625" style="76" hidden="1" customWidth="1"/>
    <col min="47" max="47" width="0" style="76" hidden="1" customWidth="1"/>
    <col min="48" max="16384" width="2.625" style="76"/>
  </cols>
  <sheetData>
    <row r="1" spans="1:46" ht="16.149999999999999" customHeight="1" x14ac:dyDescent="0.15">
      <c r="A1" s="565" t="s">
        <v>283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row>
    <row r="2" spans="1:46" ht="13.5" customHeight="1" x14ac:dyDescent="0.15">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row>
    <row r="3" spans="1:46" x14ac:dyDescent="0.15">
      <c r="AF3" s="134"/>
      <c r="AG3" s="141"/>
    </row>
    <row r="4" spans="1:46" ht="14.25" x14ac:dyDescent="0.15">
      <c r="A4" s="566" t="s">
        <v>84</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130"/>
    </row>
    <row r="5" spans="1:46" ht="14.25" x14ac:dyDescent="0.15">
      <c r="A5" s="170"/>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0"/>
    </row>
    <row r="6" spans="1:46" x14ac:dyDescent="0.15">
      <c r="A6" s="130"/>
      <c r="B6" s="129" t="s">
        <v>320</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row>
    <row r="7" spans="1:46" ht="13.5" customHeight="1" x14ac:dyDescent="0.15">
      <c r="A7" s="130"/>
      <c r="B7" s="567" t="s">
        <v>353</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130"/>
    </row>
    <row r="8" spans="1:46" x14ac:dyDescent="0.15">
      <c r="A8" s="130"/>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130"/>
    </row>
    <row r="9" spans="1:46" x14ac:dyDescent="0.15">
      <c r="A9" s="130"/>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130"/>
    </row>
    <row r="10" spans="1:46" x14ac:dyDescent="0.15">
      <c r="A10" s="130"/>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130"/>
    </row>
    <row r="11" spans="1:46" x14ac:dyDescent="0.15">
      <c r="A11" s="130"/>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130"/>
    </row>
    <row r="12" spans="1:46"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row>
    <row r="13" spans="1:46" x14ac:dyDescent="0.15">
      <c r="A13" s="130"/>
      <c r="B13" s="568" t="s">
        <v>333</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L13" s="130"/>
    </row>
    <row r="14" spans="1:46" x14ac:dyDescent="0.15">
      <c r="A14" s="130"/>
      <c r="B14" s="129" t="s">
        <v>96</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R14" s="76" t="s">
        <v>108</v>
      </c>
    </row>
    <row r="15" spans="1:46" x14ac:dyDescent="0.15">
      <c r="A15" s="130"/>
      <c r="B15" s="76" t="s">
        <v>127</v>
      </c>
      <c r="E15" s="571">
        <f>タスクる!$S$52</f>
        <v>0</v>
      </c>
      <c r="F15" s="571"/>
      <c r="G15" s="571"/>
      <c r="H15" s="571"/>
      <c r="J15" s="76" t="s">
        <v>85</v>
      </c>
      <c r="K15" s="569" t="str">
        <f>LEFT(AS21,6)</f>
        <v>0</v>
      </c>
      <c r="L15" s="569"/>
      <c r="M15" s="569"/>
      <c r="N15" s="569"/>
      <c r="O15" s="569"/>
      <c r="P15" s="76" t="s">
        <v>275</v>
      </c>
      <c r="AD15" s="542" t="str">
        <f>IFERROR(VLOOKUP(E15,タスクＡ時間設定,2,FALSE),"")</f>
        <v/>
      </c>
      <c r="AE15" s="542"/>
      <c r="AF15" s="542"/>
      <c r="AG15" s="542"/>
      <c r="AH15" s="542"/>
      <c r="AI15" s="76" t="s">
        <v>156</v>
      </c>
      <c r="AL15" s="130"/>
      <c r="AR15" s="76" t="s">
        <v>122</v>
      </c>
    </row>
    <row r="16" spans="1:46" x14ac:dyDescent="0.15">
      <c r="A16" s="130"/>
      <c r="B16" s="572" t="s">
        <v>157</v>
      </c>
      <c r="C16" s="572"/>
      <c r="D16" s="572"/>
      <c r="E16" s="572"/>
      <c r="F16" s="572"/>
      <c r="G16" s="572"/>
      <c r="H16" s="572"/>
      <c r="I16" s="572"/>
      <c r="J16" s="572"/>
      <c r="K16" s="572"/>
      <c r="L16" s="573" t="str">
        <f>IFERROR(VLOOKUP(E15,タスクＡ時間設定,3,FALSE),"")</f>
        <v/>
      </c>
      <c r="M16" s="573"/>
      <c r="N16" s="573"/>
      <c r="O16" s="78" t="s">
        <v>87</v>
      </c>
      <c r="P16" s="78"/>
      <c r="Q16" s="78"/>
      <c r="R16" s="78"/>
      <c r="S16" s="78"/>
      <c r="T16" s="78"/>
      <c r="U16" s="78"/>
      <c r="V16" s="78"/>
      <c r="W16" s="78"/>
      <c r="X16" s="78"/>
      <c r="Y16" s="78"/>
      <c r="Z16" s="78"/>
      <c r="AL16" s="130"/>
      <c r="AR16" s="205" t="s">
        <v>109</v>
      </c>
      <c r="AS16" s="208">
        <f>タスクる!$L$7</f>
        <v>0.5</v>
      </c>
      <c r="AT16" s="76" t="s">
        <v>2</v>
      </c>
    </row>
    <row r="17" spans="1:75" x14ac:dyDescent="0.15">
      <c r="A17" s="130"/>
      <c r="B17" s="76" t="s">
        <v>128</v>
      </c>
      <c r="AL17" s="130"/>
      <c r="AR17" s="205" t="s">
        <v>110</v>
      </c>
      <c r="AS17" s="208">
        <f>タスクる!$S$7</f>
        <v>0.625</v>
      </c>
      <c r="AT17" s="76" t="s">
        <v>107</v>
      </c>
    </row>
    <row r="18" spans="1:75" x14ac:dyDescent="0.15">
      <c r="A18" s="130"/>
      <c r="AL18" s="130"/>
    </row>
    <row r="19" spans="1:75" x14ac:dyDescent="0.15">
      <c r="A19" s="130"/>
      <c r="B19" s="129" t="s">
        <v>322</v>
      </c>
      <c r="C19" s="130"/>
      <c r="D19" s="130"/>
      <c r="E19" s="130"/>
      <c r="F19" s="130"/>
      <c r="G19" s="245"/>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row>
    <row r="20" spans="1:75" x14ac:dyDescent="0.15">
      <c r="A20" s="130"/>
      <c r="B20" s="570" t="str">
        <f>タスクる!$C$32</f>
        <v>11月12日</v>
      </c>
      <c r="C20" s="570"/>
      <c r="D20" s="570"/>
      <c r="E20" s="570"/>
      <c r="F20" s="570"/>
      <c r="G20" s="546" t="str">
        <f>タスクる!$C$35</f>
        <v>金曜日</v>
      </c>
      <c r="H20" s="546"/>
      <c r="I20" s="546"/>
      <c r="J20" s="76" t="s">
        <v>88</v>
      </c>
      <c r="P20" s="573" t="str">
        <f>LEFT(AS22,4)</f>
        <v>0</v>
      </c>
      <c r="Q20" s="573"/>
      <c r="R20" s="573"/>
      <c r="S20" s="573"/>
      <c r="T20" s="220"/>
      <c r="U20" s="76" t="s">
        <v>89</v>
      </c>
      <c r="V20" s="79"/>
      <c r="W20" s="79"/>
      <c r="X20" s="79"/>
      <c r="Y20" s="79"/>
      <c r="AA20" s="79"/>
      <c r="AB20" s="79"/>
      <c r="AC20" s="79"/>
      <c r="AL20" s="130"/>
      <c r="AR20" s="76" t="str">
        <f>第１回教示!AR19</f>
        <v>各タスクの内容</v>
      </c>
    </row>
    <row r="21" spans="1:75" x14ac:dyDescent="0.15">
      <c r="A21" s="130"/>
      <c r="B21" s="569" t="str">
        <f>$P$20</f>
        <v>0</v>
      </c>
      <c r="C21" s="569"/>
      <c r="D21" s="569"/>
      <c r="E21" s="569"/>
      <c r="F21" s="123" t="s">
        <v>90</v>
      </c>
      <c r="G21" s="573" t="str">
        <f>RIGHT(AS22,3)</f>
        <v>0</v>
      </c>
      <c r="H21" s="573"/>
      <c r="I21" s="573"/>
      <c r="J21" s="76" t="s">
        <v>99</v>
      </c>
      <c r="K21" s="548" t="str">
        <f>タスクる!$O$53</f>
        <v/>
      </c>
      <c r="L21" s="548"/>
      <c r="M21" s="80" t="s">
        <v>246</v>
      </c>
      <c r="P21" s="211" t="str">
        <f>IF(T21="択なし","行います。","と")</f>
        <v>と</v>
      </c>
      <c r="T21" s="573" t="str">
        <f>RIGHT(AS23,3)</f>
        <v>0</v>
      </c>
      <c r="U21" s="573"/>
      <c r="V21" s="573"/>
      <c r="W21" s="122" t="s">
        <v>99</v>
      </c>
      <c r="X21" s="548" t="str">
        <f>タスクる!$O$54</f>
        <v/>
      </c>
      <c r="Y21" s="548"/>
      <c r="Z21" s="81" t="s">
        <v>274</v>
      </c>
      <c r="AD21" s="79"/>
      <c r="AL21" s="130"/>
      <c r="AR21" s="76" t="str">
        <f>第１回教示!AR20</f>
        <v>A</v>
      </c>
      <c r="AS21" s="76">
        <f>タスクる!$F$51</f>
        <v>0</v>
      </c>
    </row>
    <row r="22" spans="1:75" x14ac:dyDescent="0.15">
      <c r="A22" s="130"/>
      <c r="B22" s="78"/>
      <c r="L22" s="121"/>
      <c r="R22" s="121"/>
      <c r="S22" s="121"/>
      <c r="V22" s="121"/>
      <c r="W22" s="121"/>
      <c r="X22" s="121"/>
      <c r="Y22" s="121"/>
      <c r="Z22" s="121"/>
      <c r="AA22" s="121"/>
      <c r="AB22" s="121"/>
      <c r="AC22" s="121"/>
      <c r="AD22" s="121"/>
      <c r="AL22" s="130"/>
      <c r="AR22" s="76" t="str">
        <f>第１回教示!AR21</f>
        <v>B</v>
      </c>
      <c r="AS22" s="76">
        <f>タスクる!$F$53</f>
        <v>0</v>
      </c>
    </row>
    <row r="23" spans="1:75" x14ac:dyDescent="0.15">
      <c r="A23" s="130"/>
      <c r="B23" s="129" t="s">
        <v>321</v>
      </c>
      <c r="C23" s="130"/>
      <c r="D23" s="130"/>
      <c r="E23" s="130"/>
      <c r="F23" s="130"/>
      <c r="G23" s="246" t="s">
        <v>323</v>
      </c>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S23" s="76">
        <f>タスクる!$F$54</f>
        <v>0</v>
      </c>
    </row>
    <row r="24" spans="1:75" x14ac:dyDescent="0.15">
      <c r="A24" s="130"/>
      <c r="B24" s="137" t="s">
        <v>131</v>
      </c>
      <c r="C24" s="137"/>
      <c r="D24" s="137"/>
      <c r="E24" s="137"/>
      <c r="F24" s="137"/>
      <c r="G24" s="578" t="str">
        <f>タスクる!$C$27</f>
        <v>11月11日</v>
      </c>
      <c r="H24" s="578"/>
      <c r="I24" s="578"/>
      <c r="J24" s="578"/>
      <c r="K24" s="578"/>
      <c r="L24" s="551" t="str">
        <f>タスクる!$C$30</f>
        <v>木曜日</v>
      </c>
      <c r="M24" s="551"/>
      <c r="N24" s="551"/>
      <c r="O24" s="137" t="s">
        <v>91</v>
      </c>
      <c r="P24" s="137"/>
      <c r="Q24" s="137"/>
      <c r="R24" s="137"/>
      <c r="S24" s="137"/>
      <c r="T24" s="549" t="str">
        <f>LEFT(AS24,6)</f>
        <v>0</v>
      </c>
      <c r="U24" s="549"/>
      <c r="V24" s="549"/>
      <c r="W24" s="549"/>
      <c r="X24" s="549"/>
      <c r="Y24" s="549"/>
      <c r="Z24" s="137" t="s">
        <v>92</v>
      </c>
      <c r="AA24" s="137"/>
      <c r="AB24" s="137"/>
      <c r="AC24" s="137"/>
      <c r="AD24" s="137"/>
      <c r="AE24" s="137"/>
      <c r="AF24" s="137"/>
      <c r="AG24" s="137"/>
      <c r="AH24" s="137"/>
      <c r="AI24" s="137"/>
      <c r="AJ24" s="137"/>
      <c r="AK24" s="137"/>
      <c r="AL24" s="130"/>
      <c r="AR24" s="76" t="str">
        <f>第１回教示!AR23</f>
        <v>D</v>
      </c>
      <c r="AS24" s="76">
        <f>タスクる!$F$56</f>
        <v>0</v>
      </c>
    </row>
    <row r="25" spans="1:75" x14ac:dyDescent="0.15">
      <c r="A25" s="130"/>
      <c r="B25" s="549" t="str">
        <f>$T$24</f>
        <v>0</v>
      </c>
      <c r="C25" s="549"/>
      <c r="D25" s="549"/>
      <c r="E25" s="549"/>
      <c r="F25" s="549"/>
      <c r="G25" s="137" t="s">
        <v>90</v>
      </c>
      <c r="H25" s="563" t="str">
        <f>RIGHT(AS24,3)</f>
        <v>0</v>
      </c>
      <c r="I25" s="563"/>
      <c r="J25" s="563"/>
      <c r="K25" s="562" t="s">
        <v>217</v>
      </c>
      <c r="L25" s="562"/>
      <c r="M25" s="562"/>
      <c r="N25" s="562"/>
      <c r="O25" s="574" t="str">
        <f>タスクる!$O$56</f>
        <v/>
      </c>
      <c r="P25" s="574"/>
      <c r="Q25" s="137" t="s">
        <v>163</v>
      </c>
      <c r="R25" s="137"/>
      <c r="S25" s="137"/>
      <c r="T25" s="137"/>
      <c r="U25" s="137"/>
      <c r="V25" s="563" t="str">
        <f>RIGHT(AS25,3)</f>
        <v>0</v>
      </c>
      <c r="W25" s="563"/>
      <c r="X25" s="563"/>
      <c r="Y25" s="232" t="s">
        <v>218</v>
      </c>
      <c r="Z25" s="232"/>
      <c r="AA25" s="232"/>
      <c r="AC25" s="564" t="str">
        <f>タスクる!$O$57</f>
        <v/>
      </c>
      <c r="AD25" s="564"/>
      <c r="AE25" s="137" t="str">
        <f>IF(V25="択なし","","ブロック")</f>
        <v>ブロック</v>
      </c>
      <c r="AF25" s="137"/>
      <c r="AG25" s="203"/>
      <c r="AH25" s="203"/>
      <c r="AI25" s="291" t="s">
        <v>385</v>
      </c>
      <c r="AJ25" s="136"/>
      <c r="AK25" s="136"/>
      <c r="AL25" s="130"/>
      <c r="AS25" s="76">
        <f>タスクる!$F$57</f>
        <v>0</v>
      </c>
    </row>
    <row r="26" spans="1:75" ht="13.5" customHeight="1" x14ac:dyDescent="0.15">
      <c r="A26" s="130"/>
      <c r="B26" s="137" t="s">
        <v>134</v>
      </c>
      <c r="C26" s="137"/>
      <c r="D26" s="137"/>
      <c r="E26" s="137"/>
      <c r="F26" s="137"/>
      <c r="G26" s="137"/>
      <c r="H26" s="136"/>
      <c r="I26" s="137"/>
      <c r="J26" s="136"/>
      <c r="K26" s="136"/>
      <c r="L26" s="136"/>
      <c r="M26" s="137"/>
      <c r="N26" s="136"/>
      <c r="O26" s="136"/>
      <c r="P26" s="136"/>
      <c r="Q26" s="137"/>
      <c r="R26" s="137"/>
      <c r="S26" s="137"/>
      <c r="T26" s="137"/>
      <c r="U26" s="137"/>
      <c r="V26" s="137"/>
      <c r="W26" s="137"/>
      <c r="X26" s="137"/>
      <c r="Y26" s="137"/>
      <c r="Z26" s="136"/>
      <c r="AA26" s="136"/>
      <c r="AB26" s="136"/>
      <c r="AC26" s="136"/>
      <c r="AD26" s="136"/>
      <c r="AE26" s="136"/>
      <c r="AF26" s="136"/>
      <c r="AG26" s="136"/>
      <c r="AH26" s="136"/>
      <c r="AI26" s="136"/>
      <c r="AJ26" s="137"/>
      <c r="AK26" s="137"/>
      <c r="AL26" s="130"/>
      <c r="AR26" s="76" t="str">
        <f>第１回教示!AR25</f>
        <v>G</v>
      </c>
      <c r="AS26" s="76">
        <f>タスクる!$F$60</f>
        <v>0</v>
      </c>
      <c r="AY26" s="290"/>
    </row>
    <row r="27" spans="1:75" ht="13.5" customHeight="1" x14ac:dyDescent="0.15">
      <c r="A27" s="130"/>
      <c r="B27" s="551" t="str">
        <f>$T$24</f>
        <v>0</v>
      </c>
      <c r="C27" s="551"/>
      <c r="D27" s="551"/>
      <c r="E27" s="551"/>
      <c r="F27" s="551"/>
      <c r="G27" s="137" t="s">
        <v>114</v>
      </c>
      <c r="H27" s="137"/>
      <c r="I27" s="223"/>
      <c r="J27" s="549" t="str">
        <f>IF(V25="択なし","前半３ブロック",H25)</f>
        <v>0</v>
      </c>
      <c r="K27" s="549"/>
      <c r="L27" s="549"/>
      <c r="M27" s="549"/>
      <c r="N27" s="549"/>
      <c r="O27" s="549"/>
      <c r="P27" s="223" t="s">
        <v>90</v>
      </c>
      <c r="Q27" s="233"/>
      <c r="R27" s="553" t="str">
        <f>IFERROR(VLOOKUP(B27,AR30:AT31,2,FALSE),"")</f>
        <v/>
      </c>
      <c r="S27" s="553"/>
      <c r="T27" s="553"/>
      <c r="U27" s="553"/>
      <c r="V27" s="553"/>
      <c r="W27" s="553"/>
      <c r="X27" s="553"/>
      <c r="Y27" s="553"/>
      <c r="Z27" s="553"/>
      <c r="AA27" s="553"/>
      <c r="AB27" s="553"/>
      <c r="AC27" s="553"/>
      <c r="AD27" s="553"/>
      <c r="AE27" s="553"/>
      <c r="AF27" s="553"/>
      <c r="AG27" s="553"/>
      <c r="AH27" s="553"/>
      <c r="AI27" s="553"/>
      <c r="AJ27" s="223"/>
      <c r="AK27" s="137"/>
      <c r="AL27" s="130"/>
      <c r="AS27" s="76">
        <f>タスクる!$F$61</f>
        <v>0</v>
      </c>
    </row>
    <row r="28" spans="1:75" ht="13.5" customHeight="1" x14ac:dyDescent="0.15">
      <c r="A28" s="130"/>
      <c r="B28" s="561" t="str">
        <f>IF(V25="択なし","以後",V25)</f>
        <v>0</v>
      </c>
      <c r="C28" s="561"/>
      <c r="D28" s="561"/>
      <c r="E28" s="561"/>
      <c r="F28" s="223" t="s">
        <v>90</v>
      </c>
      <c r="I28" s="553" t="str">
        <f>IFERROR(VLOOKUP(B27,AR30:AT31,3,FALSE),"")</f>
        <v/>
      </c>
      <c r="J28" s="553"/>
      <c r="K28" s="553"/>
      <c r="L28" s="553"/>
      <c r="M28" s="553"/>
      <c r="N28" s="553"/>
      <c r="O28" s="553"/>
      <c r="P28" s="553"/>
      <c r="Q28" s="553"/>
      <c r="R28" s="553"/>
      <c r="S28" s="553"/>
      <c r="T28" s="553"/>
      <c r="U28" s="553"/>
      <c r="V28" s="553"/>
      <c r="W28" s="553"/>
      <c r="X28" s="553"/>
      <c r="Y28" s="553"/>
      <c r="Z28" s="234" t="s">
        <v>111</v>
      </c>
      <c r="AA28" s="223"/>
      <c r="AB28" s="223"/>
      <c r="AC28" s="223"/>
      <c r="AD28" s="223"/>
      <c r="AE28" s="223"/>
      <c r="AF28" s="223"/>
      <c r="AG28" s="223"/>
      <c r="AH28" s="223"/>
      <c r="AI28" s="223"/>
      <c r="AJ28" s="137"/>
      <c r="AK28" s="137"/>
      <c r="AL28" s="130"/>
    </row>
    <row r="29" spans="1:75" ht="13.5" customHeight="1" x14ac:dyDescent="0.15">
      <c r="A29" s="130"/>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235"/>
      <c r="AK29" s="235"/>
      <c r="AL29" s="130"/>
    </row>
    <row r="30" spans="1:75" ht="13.5" customHeight="1" x14ac:dyDescent="0.15">
      <c r="A30" s="130"/>
      <c r="B30" s="129" t="s">
        <v>95</v>
      </c>
      <c r="C30" s="130"/>
      <c r="D30" s="130"/>
      <c r="E30" s="130"/>
      <c r="F30" s="130"/>
      <c r="G30" s="245" t="s">
        <v>357</v>
      </c>
      <c r="H30" s="130"/>
      <c r="I30" s="131"/>
      <c r="J30" s="130"/>
      <c r="K30" s="130"/>
      <c r="L30" s="130"/>
      <c r="M30" s="130"/>
      <c r="N30" s="130"/>
      <c r="O30" s="130"/>
      <c r="P30" s="130"/>
      <c r="Q30" s="130"/>
      <c r="R30" s="130"/>
      <c r="S30" s="130"/>
      <c r="T30" s="130"/>
      <c r="U30" s="130"/>
      <c r="V30" s="131"/>
      <c r="W30" s="131"/>
      <c r="X30" s="131"/>
      <c r="Y30" s="131"/>
      <c r="Z30" s="131"/>
      <c r="AA30" s="131"/>
      <c r="AB30" s="131"/>
      <c r="AC30" s="131"/>
      <c r="AD30" s="131"/>
      <c r="AE30" s="131"/>
      <c r="AF30" s="131"/>
      <c r="AG30" s="131"/>
      <c r="AH30" s="131"/>
      <c r="AI30" s="131"/>
      <c r="AJ30" s="131"/>
      <c r="AK30" s="130"/>
      <c r="AL30" s="130"/>
      <c r="AR30" s="76" t="str">
        <f>第１回教示!AR29</f>
        <v>　物品請求書</v>
      </c>
      <c r="AS30" s="76" t="str">
        <f>第１回教示!AS29</f>
        <v>消費税率８％</v>
      </c>
      <c r="AT30" s="76" t="str">
        <f>第１回教示!AT29</f>
        <v>消費税率10％</v>
      </c>
      <c r="AU30" s="76">
        <f>第１回教示!AU29</f>
        <v>0</v>
      </c>
    </row>
    <row r="31" spans="1:75" ht="13.5" customHeight="1" x14ac:dyDescent="0.15">
      <c r="A31" s="130"/>
      <c r="B31" s="232" t="s">
        <v>336</v>
      </c>
      <c r="C31" s="137"/>
      <c r="D31" s="137"/>
      <c r="E31" s="137"/>
      <c r="F31" s="137"/>
      <c r="G31" s="137"/>
      <c r="H31" s="137"/>
      <c r="I31" s="137"/>
      <c r="J31" s="137"/>
      <c r="K31" s="137"/>
      <c r="L31" s="137"/>
      <c r="M31" s="137"/>
      <c r="N31" s="232"/>
      <c r="O31" s="232"/>
      <c r="P31" s="232"/>
      <c r="Q31" s="232"/>
      <c r="R31" s="232"/>
      <c r="S31" s="232"/>
      <c r="T31" s="232"/>
      <c r="U31" s="232"/>
      <c r="V31" s="232"/>
      <c r="W31" s="232"/>
      <c r="X31" s="232"/>
      <c r="Y31" s="232"/>
      <c r="Z31" s="232"/>
      <c r="AA31" s="232"/>
      <c r="AB31" s="137"/>
      <c r="AC31" s="156"/>
      <c r="AD31" s="156"/>
      <c r="AE31" s="156"/>
      <c r="AF31" s="156"/>
      <c r="AG31" s="137"/>
      <c r="AH31" s="219"/>
      <c r="AI31" s="219"/>
      <c r="AJ31" s="219"/>
      <c r="AK31" s="137"/>
      <c r="AL31" s="130"/>
      <c r="AR31" s="76" t="str">
        <f>第１回教示!AR30</f>
        <v>作業日報集計</v>
      </c>
      <c r="AS31" s="76" t="str">
        <f>第１回教示!AS30</f>
        <v>総計の不良率欄のみ少数点第２位を切り上げ</v>
      </c>
      <c r="AT31" s="76" t="str">
        <f>第１回教示!AT30</f>
        <v>総計の不良率欄のみ少数点第２位を四捨五入</v>
      </c>
      <c r="AU31" s="76">
        <f>第１回教示!AU30</f>
        <v>0</v>
      </c>
    </row>
    <row r="32" spans="1:75" x14ac:dyDescent="0.15">
      <c r="A32" s="130"/>
      <c r="B32" s="576" t="str">
        <f>タスクる!$C$32</f>
        <v>11月12日</v>
      </c>
      <c r="C32" s="576"/>
      <c r="D32" s="576"/>
      <c r="E32" s="576"/>
      <c r="F32" s="576"/>
      <c r="G32" s="232" t="s">
        <v>155</v>
      </c>
      <c r="H32" s="234" t="s">
        <v>154</v>
      </c>
      <c r="I32" s="137"/>
      <c r="J32" s="137"/>
      <c r="K32" s="232"/>
      <c r="L32" s="232"/>
      <c r="M32" s="232"/>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0"/>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row>
    <row r="33" spans="1:38" x14ac:dyDescent="0.15">
      <c r="A33" s="130"/>
      <c r="B33" s="575" t="s">
        <v>358</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130"/>
    </row>
    <row r="34" spans="1:38" ht="13.5" customHeight="1" x14ac:dyDescent="0.15">
      <c r="A34" s="130"/>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130"/>
    </row>
    <row r="35" spans="1:38" x14ac:dyDescent="0.15">
      <c r="A35" s="130"/>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130"/>
    </row>
    <row r="36" spans="1:38" x14ac:dyDescent="0.15">
      <c r="A36" s="130"/>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130"/>
    </row>
    <row r="37" spans="1:38" x14ac:dyDescent="0.15">
      <c r="A37" s="130"/>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130"/>
    </row>
    <row r="38" spans="1:38" ht="13.5" customHeight="1" x14ac:dyDescent="0.15">
      <c r="A38" s="130"/>
      <c r="B38" s="129" t="s">
        <v>94</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row>
    <row r="39" spans="1:38" ht="13.5" customHeight="1" x14ac:dyDescent="0.15">
      <c r="A39" s="130"/>
      <c r="B39" s="76" t="s">
        <v>162</v>
      </c>
      <c r="H39" s="171"/>
      <c r="I39" s="171" t="e">
        <f>タスクる!$Q$76</f>
        <v>#N/A</v>
      </c>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L39" s="130"/>
    </row>
    <row r="40" spans="1:38" x14ac:dyDescent="0.15">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row>
    <row r="41" spans="1:38" x14ac:dyDescent="0.15">
      <c r="A41" s="130"/>
      <c r="B41" s="76" t="s">
        <v>284</v>
      </c>
      <c r="AL41" s="130"/>
    </row>
    <row r="42" spans="1:38" x14ac:dyDescent="0.15">
      <c r="A42" s="130"/>
      <c r="B42" s="175" t="s">
        <v>123</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L42" s="130"/>
    </row>
    <row r="43" spans="1:38" x14ac:dyDescent="0.15">
      <c r="A43" s="130"/>
      <c r="B43" s="175" t="s">
        <v>124</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L43" s="130"/>
    </row>
    <row r="44" spans="1:38" x14ac:dyDescent="0.15">
      <c r="A44" s="130"/>
      <c r="B44" s="175" t="s">
        <v>334</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L44" s="130"/>
    </row>
    <row r="45" spans="1:38" ht="13.5" customHeight="1" x14ac:dyDescent="0.15">
      <c r="A45" s="130"/>
      <c r="B45" s="572" t="s">
        <v>125</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130"/>
    </row>
    <row r="46" spans="1:38" x14ac:dyDescent="0.15">
      <c r="A46" s="130"/>
      <c r="B46" s="78" t="s">
        <v>335</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130"/>
    </row>
    <row r="47" spans="1:38" ht="12.75" customHeight="1" x14ac:dyDescent="0.15">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row>
    <row r="48" spans="1:38" x14ac:dyDescent="0.15">
      <c r="A48" s="130"/>
      <c r="B48" s="76" t="s">
        <v>83</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L48" s="130"/>
    </row>
    <row r="49" spans="1:38" ht="13.5" customHeight="1" x14ac:dyDescent="0.1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row>
    <row r="50" spans="1:38" ht="13.5" customHeight="1" x14ac:dyDescent="0.15">
      <c r="A50" s="134"/>
    </row>
    <row r="51" spans="1:38" ht="13.5" customHeight="1" x14ac:dyDescent="0.15">
      <c r="A51" s="167" t="s">
        <v>356</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6"/>
    </row>
    <row r="52" spans="1:38" ht="13.5" customHeight="1" x14ac:dyDescent="0.15">
      <c r="A52" s="167"/>
      <c r="B52" s="223"/>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166"/>
    </row>
    <row r="53" spans="1:38" x14ac:dyDescent="0.15">
      <c r="A53" s="166"/>
      <c r="B53" s="169" t="s">
        <v>97</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row>
    <row r="54" spans="1:38" ht="13.5" customHeight="1" x14ac:dyDescent="0.15">
      <c r="A54" s="166"/>
      <c r="B54" s="175" t="s">
        <v>285</v>
      </c>
      <c r="T54" s="76" t="s">
        <v>220</v>
      </c>
      <c r="Y54" s="573" t="str">
        <f>LEFT(AS26,5)</f>
        <v>0</v>
      </c>
      <c r="Z54" s="573"/>
      <c r="AA54" s="573"/>
      <c r="AB54" s="573"/>
      <c r="AC54" s="573"/>
      <c r="AD54" s="76" t="s">
        <v>98</v>
      </c>
      <c r="AE54" s="120"/>
      <c r="AF54" s="573" t="str">
        <f>$Y$54</f>
        <v>0</v>
      </c>
      <c r="AG54" s="573"/>
      <c r="AH54" s="573"/>
      <c r="AI54" s="573"/>
      <c r="AJ54" s="573"/>
      <c r="AK54" s="76" t="s">
        <v>90</v>
      </c>
      <c r="AL54" s="166"/>
    </row>
    <row r="55" spans="1:38" x14ac:dyDescent="0.15">
      <c r="A55" s="166"/>
      <c r="B55" s="537" t="str">
        <f>RIGHT(AS26,3)</f>
        <v>0</v>
      </c>
      <c r="C55" s="537"/>
      <c r="D55" s="76" t="s">
        <v>99</v>
      </c>
      <c r="E55" s="548" t="str">
        <f>タスクる!$O$60</f>
        <v/>
      </c>
      <c r="F55" s="548"/>
      <c r="G55" s="80" t="s">
        <v>243</v>
      </c>
      <c r="J55" s="211" t="str">
        <f>IF(O55="択なし","行います。","と")</f>
        <v>と</v>
      </c>
      <c r="O55" s="537" t="str">
        <f>RIGHT(AS27,3)</f>
        <v>0</v>
      </c>
      <c r="P55" s="537"/>
      <c r="Q55" s="217"/>
      <c r="R55" s="155" t="s">
        <v>99</v>
      </c>
      <c r="S55" s="548" t="str">
        <f>タスクる!$O$61</f>
        <v/>
      </c>
      <c r="T55" s="548"/>
      <c r="U55" s="81" t="s">
        <v>274</v>
      </c>
      <c r="V55" s="155"/>
      <c r="AD55" s="121"/>
      <c r="AE55" s="121"/>
      <c r="AL55" s="166"/>
    </row>
    <row r="56" spans="1:38" x14ac:dyDescent="0.15">
      <c r="A56" s="166"/>
      <c r="B56" s="572" t="s">
        <v>129</v>
      </c>
      <c r="C56" s="572"/>
      <c r="D56" s="572"/>
      <c r="E56" s="572"/>
      <c r="F56" s="577" t="str">
        <f>タスクる!$C$22</f>
        <v>11月10日</v>
      </c>
      <c r="G56" s="577"/>
      <c r="H56" s="577"/>
      <c r="I56" s="577"/>
      <c r="J56" s="577"/>
      <c r="K56" s="537" t="str">
        <f>タスクる!$C$25</f>
        <v>水曜日</v>
      </c>
      <c r="L56" s="537"/>
      <c r="M56" s="537"/>
      <c r="N56" s="76" t="s">
        <v>121</v>
      </c>
      <c r="O56" s="125"/>
      <c r="P56" s="124"/>
      <c r="X56" s="121"/>
      <c r="Y56" s="121"/>
      <c r="Z56" s="121"/>
      <c r="AA56" s="121"/>
      <c r="AB56" s="121"/>
      <c r="AC56" s="121"/>
      <c r="AD56" s="121"/>
      <c r="AL56" s="166"/>
    </row>
    <row r="57" spans="1:38" x14ac:dyDescent="0.15">
      <c r="A57" s="166"/>
      <c r="B57" s="76" t="s">
        <v>130</v>
      </c>
      <c r="AL57" s="166"/>
    </row>
    <row r="58" spans="1:38" x14ac:dyDescent="0.1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row>
    <row r="59" spans="1:38" x14ac:dyDescent="0.15">
      <c r="A59" s="134"/>
    </row>
    <row r="60" spans="1:38" x14ac:dyDescent="0.15">
      <c r="A60" s="134"/>
    </row>
    <row r="61" spans="1:38" x14ac:dyDescent="0.15">
      <c r="A61" s="134"/>
    </row>
  </sheetData>
  <sheetProtection sheet="1" objects="1" scenarios="1"/>
  <mergeCells count="43">
    <mergeCell ref="B33:AK37"/>
    <mergeCell ref="B32:F32"/>
    <mergeCell ref="X21:Y21"/>
    <mergeCell ref="S55:T55"/>
    <mergeCell ref="K56:M56"/>
    <mergeCell ref="AF54:AJ54"/>
    <mergeCell ref="B55:C55"/>
    <mergeCell ref="E55:F55"/>
    <mergeCell ref="O55:P55"/>
    <mergeCell ref="Y54:AC54"/>
    <mergeCell ref="F56:J56"/>
    <mergeCell ref="B56:E56"/>
    <mergeCell ref="B45:AK45"/>
    <mergeCell ref="B27:F27"/>
    <mergeCell ref="L24:N24"/>
    <mergeCell ref="G24:K24"/>
    <mergeCell ref="T24:Y24"/>
    <mergeCell ref="O25:P25"/>
    <mergeCell ref="P20:S20"/>
    <mergeCell ref="T21:V21"/>
    <mergeCell ref="L16:N16"/>
    <mergeCell ref="B20:F20"/>
    <mergeCell ref="E15:H15"/>
    <mergeCell ref="B16:K16"/>
    <mergeCell ref="B21:E21"/>
    <mergeCell ref="G21:I21"/>
    <mergeCell ref="K21:L21"/>
    <mergeCell ref="G20:I20"/>
    <mergeCell ref="A1:AK2"/>
    <mergeCell ref="A4:AK4"/>
    <mergeCell ref="B7:AK11"/>
    <mergeCell ref="B13:AJ13"/>
    <mergeCell ref="K15:O15"/>
    <mergeCell ref="AD15:AH15"/>
    <mergeCell ref="R27:AI27"/>
    <mergeCell ref="J27:O27"/>
    <mergeCell ref="I28:Y28"/>
    <mergeCell ref="B28:E28"/>
    <mergeCell ref="K25:N25"/>
    <mergeCell ref="H25:J25"/>
    <mergeCell ref="V25:X25"/>
    <mergeCell ref="AC25:AD25"/>
    <mergeCell ref="B25:F25"/>
  </mergeCells>
  <phoneticPr fontId="2"/>
  <conditionalFormatting sqref="Z21">
    <cfRule type="expression" dxfId="9" priority="15">
      <formula>T21="択なし"</formula>
    </cfRule>
  </conditionalFormatting>
  <conditionalFormatting sqref="T21">
    <cfRule type="containsText" dxfId="8" priority="12" operator="containsText" text="択なし">
      <formula>NOT(ISERROR(SEARCH("択なし",T21)))</formula>
    </cfRule>
  </conditionalFormatting>
  <conditionalFormatting sqref="W21">
    <cfRule type="expression" dxfId="7" priority="11">
      <formula>T21="択なし"</formula>
    </cfRule>
  </conditionalFormatting>
  <conditionalFormatting sqref="O55">
    <cfRule type="containsText" dxfId="6" priority="10" operator="containsText" text="択なし">
      <formula>NOT(ISERROR(SEARCH("択なし",O55)))</formula>
    </cfRule>
  </conditionalFormatting>
  <conditionalFormatting sqref="R55">
    <cfRule type="expression" dxfId="5" priority="8">
      <formula>O55="択なし"</formula>
    </cfRule>
  </conditionalFormatting>
  <conditionalFormatting sqref="U55">
    <cfRule type="expression" dxfId="4" priority="7">
      <formula>O55="択なし"</formula>
    </cfRule>
  </conditionalFormatting>
  <conditionalFormatting sqref="W21">
    <cfRule type="expression" dxfId="3" priority="29">
      <formula>N21="択なし"</formula>
    </cfRule>
  </conditionalFormatting>
  <conditionalFormatting sqref="V25">
    <cfRule type="containsText" dxfId="2" priority="5" operator="containsText" text="択なし">
      <formula>NOT(ISERROR(SEARCH("択なし",V25)))</formula>
    </cfRule>
  </conditionalFormatting>
  <conditionalFormatting sqref="Y25">
    <cfRule type="expression" dxfId="1" priority="4">
      <formula>$V$25="択なし"</formula>
    </cfRule>
  </conditionalFormatting>
  <conditionalFormatting sqref="AI25">
    <cfRule type="expression" dxfId="0" priority="1">
      <formula>$V$25="択なし"</formula>
    </cfRule>
  </conditionalFormatting>
  <printOptions horizontalCentered="1" verticalCentered="1"/>
  <pageMargins left="0.31496062992125984" right="0.31496062992125984" top="0.35433070866141736" bottom="0.35433070866141736" header="0.31496062992125984" footer="0.31496062992125984"/>
  <pageSetup paperSize="9" scale="98" fitToHeight="0" orientation="portrait" r:id="rId1"/>
  <ignoredErrors>
    <ignoredError sqref="I3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workbookViewId="0">
      <selection activeCell="AN23" sqref="AN23"/>
    </sheetView>
  </sheetViews>
  <sheetFormatPr defaultColWidth="2.625" defaultRowHeight="15" x14ac:dyDescent="0.15"/>
  <cols>
    <col min="1" max="16384" width="2.625" style="249"/>
  </cols>
  <sheetData>
    <row r="1" spans="1:39" x14ac:dyDescent="0.15">
      <c r="A1" s="248"/>
    </row>
    <row r="2" spans="1:39" x14ac:dyDescent="0.15">
      <c r="AF2" s="250" t="s">
        <v>295</v>
      </c>
    </row>
    <row r="3" spans="1:39" x14ac:dyDescent="0.15">
      <c r="A3" s="251" t="s">
        <v>296</v>
      </c>
    </row>
    <row r="4" spans="1:39" x14ac:dyDescent="0.15">
      <c r="A4" s="252"/>
    </row>
    <row r="5" spans="1:39" x14ac:dyDescent="0.15">
      <c r="A5" s="252"/>
    </row>
    <row r="6" spans="1:39" ht="18.75" x14ac:dyDescent="0.15">
      <c r="K6" s="255" t="s">
        <v>338</v>
      </c>
    </row>
    <row r="7" spans="1:39" x14ac:dyDescent="0.15">
      <c r="I7" s="252"/>
    </row>
    <row r="8" spans="1:39" x14ac:dyDescent="0.15">
      <c r="I8" s="252"/>
    </row>
    <row r="9" spans="1:39" x14ac:dyDescent="0.15">
      <c r="I9" s="252"/>
    </row>
    <row r="10" spans="1:39" x14ac:dyDescent="0.15">
      <c r="A10" s="252"/>
    </row>
    <row r="11" spans="1:39" ht="14.25" customHeight="1" x14ac:dyDescent="0.15">
      <c r="A11" s="579" t="s">
        <v>343</v>
      </c>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row>
    <row r="12" spans="1:39" x14ac:dyDescent="0.15">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L12" s="253"/>
    </row>
    <row r="13" spans="1:39" x14ac:dyDescent="0.15">
      <c r="A13" s="579"/>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L13" s="253"/>
    </row>
    <row r="14" spans="1:39" x14ac:dyDescent="0.15">
      <c r="A14" s="57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L14" s="253"/>
    </row>
    <row r="15" spans="1:39" x14ac:dyDescent="0.15">
      <c r="A15" s="579"/>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L15" s="252"/>
    </row>
    <row r="16" spans="1:39" x14ac:dyDescent="0.15">
      <c r="A16" s="579"/>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M16" s="253"/>
    </row>
    <row r="17" spans="1:32" ht="14.25" customHeight="1" x14ac:dyDescent="0.15">
      <c r="A17" s="579"/>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row>
    <row r="18" spans="1:32" ht="13.5" customHeight="1" x14ac:dyDescent="0.15">
      <c r="A18" s="579"/>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row>
    <row r="19" spans="1:32" ht="14.25" customHeight="1" x14ac:dyDescent="0.15">
      <c r="A19" s="579"/>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row>
    <row r="20" spans="1:32" x14ac:dyDescent="0.15">
      <c r="A20" s="252"/>
    </row>
    <row r="21" spans="1:32" s="256" customFormat="1" ht="15.75" x14ac:dyDescent="0.15"/>
    <row r="22" spans="1:32" s="256" customFormat="1" ht="15.75" x14ac:dyDescent="0.15">
      <c r="A22" s="254" t="s">
        <v>339</v>
      </c>
    </row>
    <row r="23" spans="1:32" s="256" customFormat="1" ht="15.75" x14ac:dyDescent="0.15">
      <c r="A23" s="254"/>
    </row>
    <row r="24" spans="1:32" s="256" customFormat="1" ht="15.75" x14ac:dyDescent="0.15">
      <c r="D24" s="257" t="s">
        <v>297</v>
      </c>
    </row>
    <row r="25" spans="1:32" s="256" customFormat="1" ht="15.75" x14ac:dyDescent="0.15">
      <c r="C25" s="257"/>
    </row>
    <row r="26" spans="1:32" s="256" customFormat="1" ht="15.75" x14ac:dyDescent="0.15">
      <c r="A26" s="257"/>
    </row>
    <row r="27" spans="1:32" s="256" customFormat="1" ht="15.75" x14ac:dyDescent="0.15">
      <c r="A27" s="258" t="s">
        <v>341</v>
      </c>
    </row>
    <row r="28" spans="1:32" s="256" customFormat="1" ht="15.75" x14ac:dyDescent="0.15">
      <c r="E28" s="259" t="s">
        <v>298</v>
      </c>
    </row>
    <row r="29" spans="1:32" s="256" customFormat="1" ht="15.75" x14ac:dyDescent="0.15">
      <c r="A29" s="254"/>
    </row>
    <row r="30" spans="1:32" s="256" customFormat="1" ht="15.75" x14ac:dyDescent="0.15">
      <c r="A30" s="254"/>
    </row>
    <row r="31" spans="1:32" s="256" customFormat="1" ht="15.75" x14ac:dyDescent="0.15">
      <c r="A31" s="254"/>
    </row>
    <row r="32" spans="1:32" s="256" customFormat="1" ht="15.75" x14ac:dyDescent="0.15">
      <c r="A32" s="254"/>
    </row>
    <row r="33" spans="1:5" s="256" customFormat="1" ht="15.75" x14ac:dyDescent="0.15">
      <c r="A33" s="254" t="s">
        <v>340</v>
      </c>
    </row>
    <row r="34" spans="1:5" s="256" customFormat="1" ht="15.75" x14ac:dyDescent="0.15">
      <c r="A34" s="254"/>
    </row>
    <row r="35" spans="1:5" s="256" customFormat="1" ht="15.75" x14ac:dyDescent="0.15">
      <c r="D35" s="257" t="s">
        <v>299</v>
      </c>
    </row>
    <row r="36" spans="1:5" s="256" customFormat="1" ht="15.75" x14ac:dyDescent="0.15">
      <c r="D36" s="257"/>
    </row>
    <row r="37" spans="1:5" s="256" customFormat="1" ht="15.75" x14ac:dyDescent="0.15">
      <c r="A37" s="257"/>
    </row>
    <row r="38" spans="1:5" s="256" customFormat="1" ht="15.75" x14ac:dyDescent="0.15">
      <c r="A38" s="258" t="s">
        <v>342</v>
      </c>
    </row>
    <row r="39" spans="1:5" s="256" customFormat="1" ht="15.75" x14ac:dyDescent="0.15">
      <c r="E39" s="257" t="s">
        <v>327</v>
      </c>
    </row>
  </sheetData>
  <sheetProtection sheet="1" objects="1" scenarios="1"/>
  <mergeCells count="1">
    <mergeCell ref="A11:AF19"/>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36</vt:i4>
      </vt:variant>
    </vt:vector>
  </HeadingPairs>
  <TitlesOfParts>
    <vt:vector size="41" baseType="lpstr">
      <vt:lpstr>タスクる</vt:lpstr>
      <vt:lpstr>第１回教示</vt:lpstr>
      <vt:lpstr>第１回社内報依頼メール</vt:lpstr>
      <vt:lpstr>第２回教示</vt:lpstr>
      <vt:lpstr>第２回タスク管理方法アンケート</vt:lpstr>
      <vt:lpstr>タスクる!MWS課題の組み合わせ</vt:lpstr>
      <vt:lpstr>タスクる!Print_Area</vt:lpstr>
      <vt:lpstr>第１回教示!Print_Area</vt:lpstr>
      <vt:lpstr>第１回社内報依頼メール!Print_Area</vt:lpstr>
      <vt:lpstr>第２回タスク管理方法アンケート!Print_Area</vt:lpstr>
      <vt:lpstr>第２回教示!Print_Area</vt:lpstr>
      <vt:lpstr>タスクる!タスクA</vt:lpstr>
      <vt:lpstr>タスクAのリスト</vt:lpstr>
      <vt:lpstr>第２回教示!タスクAの実施時間</vt:lpstr>
      <vt:lpstr>タスクAの実施時間</vt:lpstr>
      <vt:lpstr>タスクる!タスクA作業標準時間</vt:lpstr>
      <vt:lpstr>タスクA時間の選択</vt:lpstr>
      <vt:lpstr>第２回教示!タスクＡ時間設定</vt:lpstr>
      <vt:lpstr>タスクＡ時間設定</vt:lpstr>
      <vt:lpstr>タスクA時間選択</vt:lpstr>
      <vt:lpstr>タスクる!タスクB</vt:lpstr>
      <vt:lpstr>タスクる!タスクB作業標準時間</vt:lpstr>
      <vt:lpstr>タスクる!タスクD</vt:lpstr>
      <vt:lpstr>第１回教示!タスクD</vt:lpstr>
      <vt:lpstr>タスクDのシフト</vt:lpstr>
      <vt:lpstr>第２回教示!タスクDの作業名</vt:lpstr>
      <vt:lpstr>タスクDの作業名</vt:lpstr>
      <vt:lpstr>タスクDの選択</vt:lpstr>
      <vt:lpstr>タスクる!タスクD作業標準時間</vt:lpstr>
      <vt:lpstr>タスクF</vt:lpstr>
      <vt:lpstr>タスクる!タスクG</vt:lpstr>
      <vt:lpstr>タスクる!タスクG作業標準時間</vt:lpstr>
      <vt:lpstr>タスクる!プログラム設定に必要な行動</vt:lpstr>
      <vt:lpstr>第２回教示!ルールの切替</vt:lpstr>
      <vt:lpstr>ルールの切替</vt:lpstr>
      <vt:lpstr>指示内容</vt:lpstr>
      <vt:lpstr>第２回教示!進捗報告</vt:lpstr>
      <vt:lpstr>進捗報告</vt:lpstr>
      <vt:lpstr>タスクる!内容</vt:lpstr>
      <vt:lpstr>タスクる!能率</vt:lpstr>
      <vt:lpstr>曜日の設定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タスクる</dc:title>
  <dc:subject>支援者用課題設定補助ツール</dc:subject>
  <dc:creator>独立行政法人高齢・障害・求職者雇用支援機構</dc:creator>
  <cp:lastModifiedBy>高齢・障害・求職者雇用支援機構</cp:lastModifiedBy>
  <cp:lastPrinted>2022-01-07T03:36:07Z</cp:lastPrinted>
  <dcterms:created xsi:type="dcterms:W3CDTF">2021-07-28T01:09:00Z</dcterms:created>
  <dcterms:modified xsi:type="dcterms:W3CDTF">2022-03-18T04:47:10Z</dcterms:modified>
</cp:coreProperties>
</file>